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qQaXV+jTLnnj42NMTLnxIOfOUan2HRBa+sGjzG34uM9t05ZB2SuoAXddl6yfEY0fztXNdBPK+bu14UqlcEx1w==" workbookSaltValue="OHCy9pawCLw9ZbrjYNpf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H28" i="2"/>
  <c r="R13" i="17"/>
  <c r="P13" i="14"/>
  <c r="BG17" i="13"/>
  <c r="R8" i="9"/>
  <c r="BH30" i="16" s="1"/>
  <c r="AA10" i="16"/>
  <c r="AA25" i="16"/>
  <c r="X21" i="17"/>
  <c r="AA20" i="16"/>
  <c r="S13" i="17"/>
  <c r="S12" i="14"/>
  <c r="V12" i="14" s="1"/>
  <c r="S17" i="14"/>
  <c r="V17" i="14" s="1"/>
  <c r="R10" i="14"/>
  <c r="R17" i="14"/>
  <c r="R29" i="14"/>
  <c r="T21" i="11"/>
  <c r="T29" i="11"/>
  <c r="S9" i="14"/>
  <c r="V9" i="14" s="1"/>
  <c r="T20" i="11"/>
  <c r="X25" i="17"/>
  <c r="AA29" i="16"/>
  <c r="X22" i="17"/>
  <c r="X10" i="17"/>
  <c r="X16" i="17"/>
  <c r="X9" i="17"/>
  <c r="X11" i="17"/>
  <c r="T18" i="20"/>
  <c r="X18" i="20"/>
  <c r="X19" i="20"/>
  <c r="X20" i="20"/>
  <c r="AA12" i="21"/>
  <c r="V16" i="16"/>
  <c r="V19" i="16"/>
  <c r="T19" i="20"/>
  <c r="V16" i="20"/>
  <c r="V23" i="20" s="1"/>
  <c r="X25" i="16"/>
  <c r="X30" i="16" s="1"/>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AA18" i="16"/>
  <c r="X13" i="17"/>
  <c r="AA17" i="16"/>
  <c r="AA28" i="16"/>
  <c r="T18" i="11"/>
  <c r="S16" i="14"/>
  <c r="V16" i="14" s="1"/>
  <c r="T11" i="11"/>
  <c r="T25" i="11"/>
  <c r="T13" i="11"/>
  <c r="R19" i="14"/>
  <c r="R12" i="14"/>
  <c r="S29" i="14"/>
  <c r="V29" i="14" s="1"/>
  <c r="S19" i="14"/>
  <c r="V19" i="14" s="1"/>
  <c r="R13" i="14"/>
  <c r="X18" i="17"/>
  <c r="AA16" i="16"/>
  <c r="X17" i="17"/>
  <c r="T17" i="11"/>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Q16" i="11" s="1"/>
  <c r="AZ9" i="1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U10" i="17"/>
  <c r="BV10" i="16"/>
  <c r="AQ10" i="21"/>
  <c r="X10" i="21"/>
  <c r="X13" i="16"/>
  <c r="BW29" i="20"/>
  <c r="BW22" i="20"/>
  <c r="BV29" i="16"/>
  <c r="BW21" i="20"/>
  <c r="BV9" i="16"/>
  <c r="AZ17" i="11"/>
  <c r="BG12" i="11"/>
  <c r="BI20" i="11"/>
  <c r="BI9" i="11"/>
  <c r="BL28" i="11"/>
  <c r="BL10" i="11"/>
  <c r="BH10" i="16"/>
  <c r="BH11" i="11"/>
  <c r="S18" i="17"/>
  <c r="BM9" i="11"/>
  <c r="Q9" i="11" s="1"/>
  <c r="BH12" i="16"/>
  <c r="BK22" i="11"/>
  <c r="BK23" i="11" s="1"/>
  <c r="L22" i="2"/>
  <c r="S16" i="17"/>
  <c r="S17" i="17"/>
  <c r="X19" i="16"/>
  <c r="U9" i="17"/>
  <c r="U31" i="17" s="1"/>
  <c r="BU18" i="17"/>
  <c r="V12" i="16"/>
  <c r="BU12" i="17"/>
  <c r="S28" i="17"/>
  <c r="T16" i="11"/>
  <c r="Q18" i="17"/>
  <c r="BH10" i="11"/>
  <c r="AO29" i="17"/>
  <c r="S10" i="17"/>
  <c r="BI29" i="11"/>
  <c r="BG17" i="11"/>
  <c r="Q17" i="11" s="1"/>
  <c r="BM21" i="11"/>
  <c r="AO25" i="17"/>
  <c r="BJ17" i="11"/>
  <c r="BL17" i="11"/>
  <c r="BL23" i="11" s="1"/>
  <c r="BH22" i="11"/>
  <c r="X12" i="17"/>
  <c r="X22" i="16"/>
  <c r="L12" i="2"/>
  <c r="L20" i="2"/>
  <c r="V10" i="16"/>
  <c r="V9"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BV30" i="16" l="1"/>
  <c r="P13" i="11"/>
  <c r="P12" i="11"/>
  <c r="S23" i="16"/>
  <c r="S31" i="16" s="1"/>
  <c r="BU33" i="17"/>
  <c r="BF23" i="11"/>
  <c r="P9" i="11"/>
  <c r="P1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<sst xmlns="http://schemas.openxmlformats.org/spreadsheetml/2006/main" count="2682" uniqueCount="1193">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</sst>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LPjXmYkHrM3Utdxw35VzLU7J/NyFdxvNq0km37Du15m8uAD7pMb7fPwEhD4LV1aQL/CuYNWmAUCJeJrhV+wKQ==" saltValue="FH/6wccZXYPGdpJP7TYQ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53</v>
      </c>
      <c r="F10" s="240">
        <f>IF(ISNUMBER(Datos!K10),Datos!K10," - ")</f>
        <v>42</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0.84615384615384615</v>
      </c>
      <c r="L10" s="1402">
        <f>IF(ISNUMBER(NºAsuntos!I10/NºAsuntos!G10),(NºAsuntos!I10/NºAsuntos!G10)*11," - ")</f>
        <v>6.2857142857142856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3.7424114671163577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53</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717</v>
      </c>
      <c r="D17" s="239">
        <f>IF(ISNUMBER(IF(D_I="SI",Datos!I17,Datos!I17+Datos!AC17)),IF(D_I="SI",Datos!I17,Datos!I17+Datos!AC17)," - ")</f>
        <v>560</v>
      </c>
      <c r="E17" s="240">
        <f>IF(ISNUMBER(IF(D_I="SI",Datos!J17,Datos!J17+Datos!AD17)),IF(D_I="SI",Datos!J17,Datos!J17+Datos!AD17)," - ")</f>
        <v>2878</v>
      </c>
      <c r="F17" s="240">
        <f>IF(ISNUMBER(IF(D_I="SI",Datos!K17,Datos!K17+Datos!AE17)),IF(D_I="SI",Datos!K17,Datos!K17+Datos!AE17)," - ")</f>
        <v>3013</v>
      </c>
      <c r="G17" s="1390" t="str">
        <f>IF(Datos!E17&lt;&gt;"",Datos!E17,Datos!D17)</f>
        <v>04</v>
      </c>
      <c r="H17" s="241">
        <f>IF(ISNUMBER(IF(D_I="SI",Datos!L17,Datos!L17+Datos!AF17)),IF(D_I="SI",Datos!L17,Datos!L17+Datos!AF17)," - ")</f>
        <v>582</v>
      </c>
      <c r="I17" s="1400" t="str">
        <f>IF(ISNUMBER(Datos!AS17/Datos!BM17),Datos!AS17/Datos!BM17," - ")</f>
        <v xml:space="preserve"> - </v>
      </c>
      <c r="J17" s="1401">
        <f>IF(ISNUMBER(Datos!BY17/Datos!CN17),Datos!BY17/Datos!CN17," - ")</f>
        <v>0</v>
      </c>
      <c r="K17" s="244">
        <f t="shared" si="3"/>
        <v>-0.18828451882845187</v>
      </c>
      <c r="L17" s="1402">
        <f>IF(ISNUMBER(NºAsuntos!I17/NºAsuntos!G17),(NºAsuntos!I17/NºAsuntos!G17)*11," - ")</f>
        <v>2.1247925655492863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52</v>
      </c>
      <c r="E18" s="240">
        <f>IF(ISNUMBER(IF(D_I="SI",Datos!J18,Datos!J18+Datos!AD18)),IF(D_I="SI",Datos!J18,Datos!J18+Datos!AD18)," - ")</f>
        <v>344</v>
      </c>
      <c r="F18" s="240">
        <f>IF(ISNUMBER(IF(D_I="SI",Datos!K18,Datos!K18+Datos!AE18)),IF(D_I="SI",Datos!K18,Datos!K18+Datos!AE18)," - ")</f>
        <v>348</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-7.2727272727272724E-2</v>
      </c>
      <c r="L18" s="1402">
        <f>IF(ISNUMBER(NºAsuntos!I18/NºAsuntos!G18),(NºAsuntos!I18/NºAsuntos!G18)*11," - ")</f>
        <v>1.6120689655172413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772</v>
      </c>
      <c r="D23" s="1407">
        <f>SUBTOTAL(9,D16:D22)</f>
        <v>612</v>
      </c>
      <c r="E23" s="1408">
        <f>SUBTOTAL(9,E16:E22)</f>
        <v>3222</v>
      </c>
      <c r="F23" s="1408">
        <f>SUBTOTAL(9,F16:F22)</f>
        <v>3361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785</v>
      </c>
      <c r="D31" s="1435">
        <f>SUBTOTAL(9,D9:D30)</f>
        <v>625</v>
      </c>
      <c r="E31" s="1436">
        <f>SUBTOTAL(9,E9:E30)</f>
        <v>3275</v>
      </c>
      <c r="F31" s="1436">
        <f>SUBTOTAL(9,F9:F30)</f>
        <v>3403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ixN85BaaOgnHwumv1lwq7+O5qsKlOvquFYWlqfbCMGPTMqoUWX044kH3f+W9uTYri/mEYL4boNcqNChu3bdow==" saltValue="R2qocCaZreb8qOdPNL3p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h3PwcZNlsxWTzsQUhahV3AYzFqotKo4hvpoig5dnOIxfS5E6bKuMcfJWr5Fd01d1dfTjNcniEqo0Gp/BDFGmg==" saltValue="PoiBOYjw38BNpBiWuNm0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53</v>
      </c>
      <c r="K10" s="194">
        <v>42</v>
      </c>
      <c r="L10" s="194">
        <v>24</v>
      </c>
      <c r="M10" s="194">
        <v>11</v>
      </c>
      <c r="N10" s="194">
        <v>9</v>
      </c>
      <c r="O10" s="194">
        <v>33</v>
      </c>
      <c r="P10" s="194">
        <v>11</v>
      </c>
      <c r="Q10" s="194">
        <v>15</v>
      </c>
      <c r="R10" s="194">
        <v>6</v>
      </c>
      <c r="S10" s="194">
        <v>19</v>
      </c>
      <c r="T10" s="194">
        <v>54</v>
      </c>
      <c r="U10" s="194">
        <v>60</v>
      </c>
      <c r="V10" s="194">
        <v>13</v>
      </c>
      <c r="W10" s="194">
        <v>15</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54</v>
      </c>
      <c r="BA10" s="139">
        <f t="shared" si="0"/>
        <v>60</v>
      </c>
      <c r="BB10" s="139">
        <f t="shared" si="0"/>
        <v>13</v>
      </c>
      <c r="BC10" s="135">
        <f t="shared" si="0"/>
        <v>15</v>
      </c>
      <c r="BD10" s="136">
        <f>IF(ISNUMBER(BA10/AZ10),BA10/AZ10," - ")</f>
        <v>1.1111111111111112</v>
      </c>
      <c r="BE10" s="137">
        <f>IF(ISNUMBER(BB10/BA10),BB10/BA10, " - ")</f>
        <v>0.21666666666666667</v>
      </c>
      <c r="BF10" s="137">
        <f>IF(ISNUMBER(BC10/BA10),BC10/BA10, " - ")</f>
        <v>0.25</v>
      </c>
      <c r="BG10" s="209">
        <f>IF(ISNUMBER((AY10+AZ10)/BA10),(AY10+AZ10)/BA10," - ")</f>
        <v>1.2166666666666666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711</v>
      </c>
      <c r="J12" s="196">
        <v>2120</v>
      </c>
      <c r="K12" s="196">
        <v>2060</v>
      </c>
      <c r="L12" s="196">
        <v>771</v>
      </c>
      <c r="M12" s="196">
        <v>508</v>
      </c>
      <c r="N12" s="196">
        <v>907</v>
      </c>
      <c r="O12" s="194">
        <v>1323</v>
      </c>
      <c r="P12" s="196">
        <v>589</v>
      </c>
      <c r="Q12" s="196">
        <v>511</v>
      </c>
      <c r="R12" s="196">
        <v>1442</v>
      </c>
      <c r="S12" s="196">
        <v>985</v>
      </c>
      <c r="T12" s="196">
        <v>1824</v>
      </c>
      <c r="U12" s="196">
        <v>2098</v>
      </c>
      <c r="V12" s="196">
        <v>711</v>
      </c>
      <c r="W12" s="196">
        <v>449</v>
      </c>
      <c r="X12" s="202">
        <v>974</v>
      </c>
      <c r="Y12" s="204">
        <v>28</v>
      </c>
      <c r="Z12" s="194">
        <v>321</v>
      </c>
      <c r="AA12" s="194">
        <v>312</v>
      </c>
      <c r="AB12" s="194">
        <v>36</v>
      </c>
      <c r="AC12" s="196">
        <v>0</v>
      </c>
      <c r="AD12" s="196">
        <v>0</v>
      </c>
      <c r="AE12" s="196">
        <v>0</v>
      </c>
      <c r="AF12" s="202">
        <v>0</v>
      </c>
      <c r="AG12" s="215">
        <v>35</v>
      </c>
      <c r="AH12" s="196">
        <v>310</v>
      </c>
      <c r="AI12" s="196">
        <v>317</v>
      </c>
      <c r="AJ12" s="216">
        <v>28</v>
      </c>
      <c r="AK12" s="195">
        <v>0</v>
      </c>
      <c r="AL12" s="196">
        <v>0</v>
      </c>
      <c r="AM12" s="196">
        <v>0</v>
      </c>
      <c r="AN12" s="202">
        <v>0</v>
      </c>
      <c r="AO12" s="283">
        <v>3</v>
      </c>
      <c r="AP12" s="168">
        <v>3</v>
      </c>
      <c r="AQ12" s="168">
        <v>3</v>
      </c>
      <c r="AR12" s="167">
        <v>3</v>
      </c>
      <c r="AS12" s="381" t="s">
        <v>1075</v>
      </c>
      <c r="AT12" s="216"/>
      <c r="AU12" s="215"/>
      <c r="AV12" s="216"/>
      <c r="AW12" s="215"/>
      <c r="AX12" s="216"/>
      <c r="AY12" s="136">
        <f t="shared" si="1"/>
        <v>1020</v>
      </c>
      <c r="AZ12" s="137">
        <f t="shared" si="1"/>
        <v>2134</v>
      </c>
      <c r="BA12" s="137">
        <f t="shared" si="1"/>
        <v>2415</v>
      </c>
      <c r="BB12" s="137">
        <f t="shared" si="1"/>
        <v>739</v>
      </c>
      <c r="BC12" s="135">
        <f>IF(ISNUMBER(X12),X12," - ")</f>
        <v>974</v>
      </c>
      <c r="BD12" s="136">
        <f t="shared" si="2"/>
        <v>1.1316776007497658</v>
      </c>
      <c r="BE12" s="137">
        <f t="shared" si="3"/>
        <v>0.30600414078674948</v>
      </c>
      <c r="BF12" s="137">
        <f t="shared" si="4"/>
        <v>0.4033126293995859</v>
      </c>
      <c r="BG12" s="209">
        <f t="shared" si="5"/>
        <v>1.3060041407867495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724</v>
      </c>
      <c r="J14" s="197">
        <f t="shared" si="7"/>
        <v>2173</v>
      </c>
      <c r="K14" s="197">
        <f t="shared" si="7"/>
        <v>2102</v>
      </c>
      <c r="L14" s="197">
        <f t="shared" si="7"/>
        <v>795</v>
      </c>
      <c r="M14" s="197">
        <f t="shared" si="7"/>
        <v>519</v>
      </c>
      <c r="N14" s="197">
        <f t="shared" si="7"/>
        <v>916</v>
      </c>
      <c r="O14" s="197">
        <f t="shared" si="7"/>
        <v>1356</v>
      </c>
      <c r="P14" s="197">
        <f t="shared" si="7"/>
        <v>600</v>
      </c>
      <c r="Q14" s="197">
        <f t="shared" si="7"/>
        <v>526</v>
      </c>
      <c r="R14" s="197">
        <f t="shared" si="7"/>
        <v>1448</v>
      </c>
      <c r="S14" s="197">
        <f t="shared" si="7"/>
        <v>1004</v>
      </c>
      <c r="T14" s="197">
        <f t="shared" si="7"/>
        <v>1878</v>
      </c>
      <c r="U14" s="197">
        <f t="shared" si="7"/>
        <v>2158</v>
      </c>
      <c r="V14" s="197">
        <f t="shared" si="7"/>
        <v>724</v>
      </c>
      <c r="W14" s="197">
        <f t="shared" si="7"/>
        <v>464</v>
      </c>
      <c r="X14" s="197">
        <f t="shared" si="7"/>
        <v>983</v>
      </c>
      <c r="Y14" s="197">
        <f t="shared" si="7"/>
        <v>28</v>
      </c>
      <c r="Z14" s="197">
        <f t="shared" si="7"/>
        <v>321</v>
      </c>
      <c r="AA14" s="197">
        <f t="shared" si="7"/>
        <v>312</v>
      </c>
      <c r="AB14" s="197">
        <f t="shared" si="7"/>
        <v>36</v>
      </c>
      <c r="AC14" s="197">
        <f t="shared" si="7"/>
        <v>0</v>
      </c>
      <c r="AD14" s="197">
        <f t="shared" si="7"/>
        <v>0</v>
      </c>
      <c r="AE14" s="197">
        <f t="shared" si="7"/>
        <v>0</v>
      </c>
      <c r="AF14" s="197">
        <f>SUBTOTAL(9,AF9:AF13)</f>
        <v>0</v>
      </c>
      <c r="AG14" s="197">
        <f t="shared" ref="AG14:AT14" si="8">SUBTOTAL(9,AG8:AG13)</f>
        <v>35</v>
      </c>
      <c r="AH14" s="197">
        <f t="shared" si="8"/>
        <v>310</v>
      </c>
      <c r="AI14" s="197">
        <f t="shared" si="8"/>
        <v>317</v>
      </c>
      <c r="AJ14" s="197">
        <f t="shared" si="8"/>
        <v>28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1039</v>
      </c>
      <c r="AZ14" s="197">
        <f>SUBTOTAL(9,AZ8:AZ13)</f>
        <v>2188</v>
      </c>
      <c r="BA14" s="197">
        <f>SUBTOTAL(9,BA8:BA13)</f>
        <v>2475</v>
      </c>
      <c r="BB14" s="197">
        <f>SUBTOTAL(9,BB8:BB13)</f>
        <v>752</v>
      </c>
      <c r="BC14" s="197">
        <f>SUBTOTAL(9,BC8:BC13)</f>
        <v>989</v>
      </c>
      <c r="BD14" s="219">
        <f>IF(ISNUMBER(BA14/AZ14),BA14/AZ14," - ")</f>
        <v>1.1311700182815356</v>
      </c>
      <c r="BE14" s="220">
        <f>IF(ISNUMBER(BB14/BA14),BB14/BA14, " - ")</f>
        <v>0.30383838383838385</v>
      </c>
      <c r="BF14" s="220">
        <f>IF(ISNUMBER(BC14/BA14),BC14/BA14, " - ")</f>
        <v>0.39959595959595962</v>
      </c>
      <c r="BG14" s="221">
        <f>IF(ISNUMBER((AY14+AZ14)/BA14),(AY14+AZ14)/BA14," - ")</f>
        <v>1.3038383838383838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560</v>
      </c>
      <c r="J17" s="196">
        <v>2878</v>
      </c>
      <c r="K17" s="196">
        <v>3013</v>
      </c>
      <c r="L17" s="196">
        <v>582</v>
      </c>
      <c r="M17" s="196">
        <v>305</v>
      </c>
      <c r="N17" s="196">
        <v>2027</v>
      </c>
      <c r="O17" s="194">
        <v>103</v>
      </c>
      <c r="P17" s="196">
        <v>130</v>
      </c>
      <c r="Q17" s="196">
        <v>136</v>
      </c>
      <c r="R17" s="196">
        <v>103</v>
      </c>
      <c r="S17" s="196">
        <v>564</v>
      </c>
      <c r="T17" s="196">
        <v>2901</v>
      </c>
      <c r="U17" s="196">
        <v>2945</v>
      </c>
      <c r="V17" s="196">
        <v>560</v>
      </c>
      <c r="W17" s="196">
        <v>320</v>
      </c>
      <c r="X17" s="202">
        <v>1995</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564</v>
      </c>
      <c r="AZ17" s="137">
        <f t="shared" si="10"/>
        <v>2901</v>
      </c>
      <c r="BA17" s="137">
        <f t="shared" si="10"/>
        <v>2945</v>
      </c>
      <c r="BB17" s="137">
        <f t="shared" si="10"/>
        <v>560</v>
      </c>
      <c r="BC17" s="135">
        <f>IF(ISNUMBER(W17),W17," - ")</f>
        <v>320</v>
      </c>
      <c r="BD17" s="136">
        <f t="shared" ref="BD17:BD22" si="12">IF(ISNUMBER(BA17/AZ17),BA17/AZ17," - ")</f>
        <v>1.0151671837297485</v>
      </c>
      <c r="BE17" s="137">
        <f t="shared" ref="BE17:BE22" si="13">IF(ISNUMBER(BB17/BA17),BB17/BA17, " - ")</f>
        <v>0.19015280135823429</v>
      </c>
      <c r="BF17" s="137">
        <f t="shared" ref="BF17:BF22" si="14">IF(ISNUMBER(BC17/BA17),BC17/BA17, " - ")</f>
        <v>0.10865874363327674</v>
      </c>
      <c r="BG17" s="209">
        <f t="shared" si="11"/>
        <v>1.1765704584040746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344</v>
      </c>
      <c r="K18" s="196">
        <v>348</v>
      </c>
      <c r="L18" s="196">
        <v>51</v>
      </c>
      <c r="M18" s="196">
        <v>60</v>
      </c>
      <c r="N18" s="196">
        <v>186</v>
      </c>
      <c r="O18" s="196">
        <v>5</v>
      </c>
      <c r="P18" s="196">
        <v>6</v>
      </c>
      <c r="Q18" s="196">
        <v>5</v>
      </c>
      <c r="R18" s="196">
        <v>1</v>
      </c>
      <c r="S18" s="196">
        <v>54</v>
      </c>
      <c r="T18" s="196">
        <v>273</v>
      </c>
      <c r="U18" s="196">
        <v>276</v>
      </c>
      <c r="V18" s="196">
        <v>52</v>
      </c>
      <c r="W18" s="196">
        <v>44</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273</v>
      </c>
      <c r="BA18" s="139">
        <f t="shared" si="15"/>
        <v>276</v>
      </c>
      <c r="BB18" s="139">
        <f t="shared" si="15"/>
        <v>52</v>
      </c>
      <c r="BC18" s="135">
        <f>IF(ISNUMBER(W18),W18," - ")</f>
        <v>44</v>
      </c>
      <c r="BD18" s="136">
        <f>IF(ISNUMBER(BA18/AZ18),BA18/AZ18," - ")</f>
        <v>1.0109890109890109</v>
      </c>
      <c r="BE18" s="137">
        <f>IF(ISNUMBER(BB18/BA18),BB18/BA18, " - ")</f>
        <v>0.18840579710144928</v>
      </c>
      <c r="BF18" s="137">
        <f>IF(ISNUMBER(BC18/BA18),BC18/BA18, " - ")</f>
        <v>0.15942028985507245</v>
      </c>
      <c r="BG18" s="209">
        <f>IF(ISNUMBER((AY18+AZ18)/BA18),(AY18+AZ18)/BA18," - ")</f>
        <v>1.1847826086956521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3222</v>
      </c>
      <c r="K23" s="197">
        <f t="shared" si="21"/>
        <v>3361</v>
      </c>
      <c r="L23" s="197">
        <f t="shared" si="21"/>
        <v>633</v>
      </c>
      <c r="M23" s="197">
        <f t="shared" si="21"/>
        <v>365</v>
      </c>
      <c r="N23" s="197">
        <f t="shared" si="21"/>
        <v>2213</v>
      </c>
      <c r="O23" s="197">
        <f t="shared" si="21"/>
        <v>108</v>
      </c>
      <c r="P23" s="197">
        <f t="shared" si="21"/>
        <v>136</v>
      </c>
      <c r="Q23" s="197">
        <f t="shared" si="21"/>
        <v>141</v>
      </c>
      <c r="R23" s="197">
        <f t="shared" si="21"/>
        <v>104</v>
      </c>
      <c r="S23" s="197">
        <f t="shared" si="21"/>
        <v>618</v>
      </c>
      <c r="T23" s="197">
        <f t="shared" si="21"/>
        <v>3174</v>
      </c>
      <c r="U23" s="197">
        <f t="shared" si="21"/>
        <v>3221</v>
      </c>
      <c r="V23" s="197">
        <f t="shared" si="21"/>
        <v>612</v>
      </c>
      <c r="W23" s="197">
        <f t="shared" si="21"/>
        <v>364</v>
      </c>
      <c r="X23" s="197">
        <f t="shared" si="21"/>
        <v>2147</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618</v>
      </c>
      <c r="AZ23" s="197">
        <f>SUBTOTAL(9,AZ15:AZ22)</f>
        <v>3174</v>
      </c>
      <c r="BA23" s="197">
        <f>SUBTOTAL(9,BA15:BA22)</f>
        <v>3221</v>
      </c>
      <c r="BB23" s="197">
        <f>SUBTOTAL(9,BB15:BB22)</f>
        <v>612</v>
      </c>
      <c r="BC23" s="197">
        <f>SUBTOTAL(9,BC15:BC22)</f>
        <v>364</v>
      </c>
      <c r="BD23" s="219">
        <f>IF(ISNUMBER(BA23/AZ23),BA23/AZ23," - ")</f>
        <v>1.0148078134845622</v>
      </c>
      <c r="BE23" s="220">
        <f>IF(ISNUMBER(BB23/BA23),BB23/BA23, " - ")</f>
        <v>0.19000310462589259</v>
      </c>
      <c r="BF23" s="220">
        <f>IF(ISNUMBER(BC23/BA23),BC23/BA23, " - ")</f>
        <v>0.11300838248990996</v>
      </c>
      <c r="BG23" s="221">
        <f>IF(ISNUMBER((AY23+AZ23)/BA23),(AY23+AZ23)/BA23," - ")</f>
        <v>1.1772741384663148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1336</v>
      </c>
      <c r="J31" s="144">
        <f t="shared" si="36"/>
        <v>5395</v>
      </c>
      <c r="K31" s="144">
        <f t="shared" si="36"/>
        <v>5463</v>
      </c>
      <c r="L31" s="144">
        <f t="shared" si="36"/>
        <v>1428</v>
      </c>
      <c r="M31" s="144">
        <f t="shared" si="36"/>
        <v>884</v>
      </c>
      <c r="N31" s="144">
        <f t="shared" si="36"/>
        <v>3129</v>
      </c>
      <c r="O31" s="144">
        <f t="shared" si="36"/>
        <v>1464</v>
      </c>
      <c r="P31" s="144">
        <f t="shared" si="36"/>
        <v>736</v>
      </c>
      <c r="Q31" s="144">
        <f t="shared" si="36"/>
        <v>667</v>
      </c>
      <c r="R31" s="144">
        <f t="shared" si="36"/>
        <v>1552</v>
      </c>
      <c r="S31" s="144">
        <f t="shared" si="36"/>
        <v>1622</v>
      </c>
      <c r="T31" s="144">
        <f t="shared" si="36"/>
        <v>5052</v>
      </c>
      <c r="U31" s="144">
        <f t="shared" si="36"/>
        <v>5379</v>
      </c>
      <c r="V31" s="144">
        <f t="shared" si="36"/>
        <v>1336</v>
      </c>
      <c r="W31" s="144">
        <f t="shared" si="36"/>
        <v>828</v>
      </c>
      <c r="X31" s="144">
        <f t="shared" si="36"/>
        <v>3130</v>
      </c>
      <c r="Y31" s="144">
        <f t="shared" si="36"/>
        <v>28</v>
      </c>
      <c r="Z31" s="144">
        <f t="shared" si="36"/>
        <v>321</v>
      </c>
      <c r="AA31" s="144">
        <f t="shared" si="36"/>
        <v>312</v>
      </c>
      <c r="AB31" s="144">
        <f t="shared" si="36"/>
        <v>36</v>
      </c>
      <c r="AC31" s="144">
        <f t="shared" si="36"/>
        <v>0</v>
      </c>
      <c r="AD31" s="144">
        <f t="shared" si="36"/>
        <v>4</v>
      </c>
      <c r="AE31" s="144">
        <f t="shared" si="36"/>
        <v>4</v>
      </c>
      <c r="AF31" s="144">
        <f t="shared" si="36"/>
        <v>0</v>
      </c>
      <c r="AG31" s="144">
        <f t="shared" si="36"/>
        <v>35</v>
      </c>
      <c r="AH31" s="144">
        <f t="shared" si="36"/>
        <v>310</v>
      </c>
      <c r="AI31" s="144">
        <f t="shared" si="36"/>
        <v>317</v>
      </c>
      <c r="AJ31" s="144">
        <f t="shared" si="36"/>
        <v>28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1657</v>
      </c>
      <c r="AZ31" s="144">
        <f>SUBTOTAL(9,AZ9:AZ30)</f>
        <v>5362</v>
      </c>
      <c r="BA31" s="144">
        <f>SUBTOTAL(9,BA9:BA30)</f>
        <v>5696</v>
      </c>
      <c r="BB31" s="144">
        <f>SUBTOTAL(9,BB9:BB30)</f>
        <v>1364</v>
      </c>
      <c r="BC31" s="145">
        <f>SUBTOTAL(9,BC9:BC30)</f>
        <v>1353</v>
      </c>
      <c r="BD31" s="227">
        <f>IF(ISNUMBER(BA31/AZ31),BA31/AZ31," - ")</f>
        <v>1.062290190227527</v>
      </c>
      <c r="BE31" s="224">
        <f>IF(ISNUMBER(BB31/BA31),BB31/BA31, " - ")</f>
        <v>0.23946629213483145</v>
      </c>
      <c r="BF31" s="224">
        <f>IF(ISNUMBER(BC31/BA31),BC31/BA31, " - ")</f>
        <v>0.23753511235955055</v>
      </c>
      <c r="BG31" s="145">
        <f>IF(ISNUMBER((AY31+AZ31)/BA31),(AY31+AZ31)/BA31," - ")</f>
        <v>1.2322682584269662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bmwzpJUKIWwSzFZxg7dZc4u1efz8HnGHsfgkH6yXjneRFZMFCpHBcBj6WNgDZyFqbICy2j7OVSfTcAbpYg5g==" saltValue="IXdQ98RPYWIKVoMyrhCA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RGNdi4C68ch2dQK7XiQCk3ySbBwpjrc8ZhFte+EIFbAdxrQzbifTk2P0Mb2bPut26g0prGqOjudnOh9ZU4OQ==" saltValue="gNWeUR0sJxa97er66tyX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UBEDA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15</v>
      </c>
      <c r="AD10" s="549"/>
      <c r="AE10" s="563"/>
      <c r="AF10" s="551">
        <f>IF(ISNUMBER(Datos!L10),Datos!L10,"-")</f>
        <v>24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9</v>
      </c>
      <c r="BE10" s="693" t="str">
        <f>IF(ISNUMBER(Datos!BW10),Datos!BW10," - ")</f>
        <v xml:space="preserve"> - </v>
      </c>
      <c r="BF10" s="762" t="str">
        <f>IF(ISNUMBER(Datos!BX10),Datos!BX10," - ")</f>
        <v xml:space="preserve"> - </v>
      </c>
      <c r="BG10" s="763">
        <f>IF(ISNUMBER(Datos!K10/Datos!J10),Datos!K10/Datos!J10," - ")</f>
        <v>0.79245283018867929</v>
      </c>
      <c r="BH10" s="764">
        <f>IF(ISNUMBER(((Datos!L10/Datos!K10)*11)/factor_trimestre),((Datos!L10/Datos!K10)*11)/factor_trimestre," - ")</f>
        <v>6.2857142857142856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321</v>
      </c>
      <c r="O12" s="549"/>
      <c r="P12" s="549"/>
      <c r="Q12" s="547">
        <f>IF(ISNUMBER(Datos!P12),Datos!P12,0)</f>
        <v>589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1442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508</v>
      </c>
      <c r="BD12" s="693">
        <f>IF(ISNUMBER(Datos!N12),Datos!N12," - ")</f>
        <v>907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0.97173289635395332</v>
      </c>
      <c r="BH12" s="764">
        <f>IF(ISNUMBER(((IF(J_V="SI",Datos!L12/Datos!K12,(Datos!L12+Datos!AB12)/(Datos!K12+Datos!AA12)))*11)/factor_trimestre),((IF(J_V="SI",Datos!L12/Datos!K12,(Datos!L12+Datos!AB12)/(Datos!K12+Datos!AA12)))*11)/factor_trimestre," - ")</f>
        <v>3.7424114671163577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5.7184750733137828E-2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321</v>
      </c>
      <c r="O14" s="1199">
        <f t="shared" si="1"/>
        <v>0</v>
      </c>
      <c r="P14" s="1199">
        <f t="shared" si="1"/>
        <v>0</v>
      </c>
      <c r="Q14" s="1198">
        <f t="shared" si="1"/>
        <v>600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526</v>
      </c>
      <c r="AD14" s="1198">
        <f t="shared" si="2"/>
        <v>0</v>
      </c>
      <c r="AE14" s="1198">
        <f t="shared" si="2"/>
        <v>0</v>
      </c>
      <c r="AF14" s="1198">
        <f t="shared" si="2"/>
        <v>24</v>
      </c>
      <c r="AG14" s="1198">
        <f t="shared" si="2"/>
        <v>0</v>
      </c>
      <c r="AH14" s="1198">
        <f t="shared" si="2"/>
        <v>36</v>
      </c>
      <c r="AI14" s="1198">
        <f t="shared" si="2"/>
        <v>0</v>
      </c>
      <c r="AJ14" s="1198">
        <f t="shared" si="2"/>
        <v>0</v>
      </c>
      <c r="AK14" s="1198">
        <f t="shared" si="2"/>
        <v>0</v>
      </c>
      <c r="AL14" s="1198">
        <f t="shared" si="2"/>
        <v>0</v>
      </c>
      <c r="AM14" s="1198">
        <f t="shared" si="2"/>
        <v>1448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519</v>
      </c>
      <c r="BD14" s="1198">
        <f t="shared" si="2"/>
        <v>916</v>
      </c>
      <c r="BE14" s="1198">
        <f t="shared" si="2"/>
        <v>0</v>
      </c>
      <c r="BF14" s="1198">
        <f t="shared" si="2"/>
        <v>0</v>
      </c>
      <c r="BG14" s="1198">
        <f>IF(ISNUMBER(Datos!K14/Datos!J14),Datos!K14/Datos!J14," - ")</f>
        <v>0.96732627703635532</v>
      </c>
      <c r="BH14" s="1202">
        <f>IF(ISNUMBER(((Datos!L14/Datos!K14)*11)/factor_trimestre),((Datos!L14/Datos!K14)*11)/factor_trimestre," - ")</f>
        <v>4.1603235014272117</v>
      </c>
      <c r="BI14" s="1198">
        <f>IF(ISNUMBER('Resol  Asuntos'!D14/NºAsuntos!G14),'Resol  Asuntos'!D14/NºAsuntos!G14," - ")</f>
        <v>0.21499585749792874</v>
      </c>
      <c r="BJ14" s="1198" t="str">
        <f>IF(ISNUMBER(Datos!CI14/Datos!CJ14),Datos!CI14/Datos!CJ14," - ")</f>
        <v xml:space="preserve"> - </v>
      </c>
      <c r="BK14" s="1198">
        <f>SUBTOTAL(9,BK8:BK13)</f>
        <v>0</v>
      </c>
      <c r="BL14" s="1198">
        <f>IF(ISNUMBER((I14-AB14+L14)/(F14)),(I14-AB14+L14)/(F14)," - ")</f>
        <v>-3.2307692307692308</v>
      </c>
      <c r="BM14" s="1203">
        <f>SUBTOTAL(9,BM9:BM13)</f>
        <v>-0.34281524926686219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717</v>
      </c>
      <c r="G17" s="743">
        <f>IF(ISNUMBER(IF(D_I="SI",Datos!I17,Datos!I17+Datos!AC17)),IF(D_I="SI",Datos!I17,Datos!I17+Datos!AC17)," - ")</f>
        <v>560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3013</v>
      </c>
      <c r="AC17" s="240">
        <f>IF(ISNUMBER(Datos!Q17),Datos!Q17," - ")</f>
        <v>136</v>
      </c>
      <c r="AD17" s="374"/>
      <c r="AE17" s="562"/>
      <c r="AF17" s="741">
        <f>IF(ISNUMBER(IF(D_I="SI",Datos!L17,Datos!L17+Datos!AF17)),IF(D_I="SI",Datos!L17,Datos!L17+Datos!AF17)," - ")</f>
        <v>582</v>
      </c>
      <c r="AG17" s="374"/>
      <c r="AH17" s="374"/>
      <c r="AI17" s="374"/>
      <c r="AJ17" s="549"/>
      <c r="AK17" s="374"/>
      <c r="AL17" s="545"/>
      <c r="AM17" s="375">
        <f>IF(ISNUMBER(Datos!R17),Datos!R17," - ")</f>
        <v>103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305</v>
      </c>
      <c r="BD17" s="243">
        <f>IF(ISNUMBER(Datos!N17),Datos!N17," - ")</f>
        <v>2027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1.0469075747046561</v>
      </c>
      <c r="BH17" s="764">
        <f>IF(ISNUMBER(((IF(D_I="SI",Datos!L17/Datos!K17,(Datos!L17+Datos!AF17)/(Datos!K17+Datos!AE17)))*11)/factor_trimestre),((IF(D_I="SI",Datos!L17/Datos!K17,(Datos!L17+Datos!AF17)/(Datos!K17+Datos!AE17)))*11)/factor_trimestre," - ")</f>
        <v>2.1247925655492863</v>
      </c>
      <c r="BI17" s="266">
        <f>IF(ISNUMBER('Resol  Asuntos'!D17/NºAsuntos!G17),'Resol  Asuntos'!D17/NºAsuntos!G17," - ")</f>
        <v>0.10122801194822437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348</v>
      </c>
      <c r="AC18" s="547">
        <f>IF(ISNUMBER(Datos!Q18),Datos!Q18," - ")</f>
        <v>5</v>
      </c>
      <c r="AD18" s="549"/>
      <c r="AE18" s="562"/>
      <c r="AF18" s="551">
        <f>IF(ISNUMBER(Datos!L18),Datos!L18,"-")</f>
        <v>51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60</v>
      </c>
      <c r="BD18" s="693">
        <f>IF(ISNUMBER(Datos!N18),Datos!N18," - ")</f>
        <v>186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1.0116279069767442</v>
      </c>
      <c r="BH18" s="764">
        <f>IF(ISNUMBER(((IF(D_I="SI",Datos!L18/Datos!K18,(Datos!L18+Datos!AF18)/(Datos!K18+Datos!AE18)))*11)/factor_trimestre),((IF(D_I="SI",Datos!L18/Datos!K18,(Datos!L18+Datos!AF18)/(Datos!K18+Datos!AE18)))*11)/factor_trimestre," - ")</f>
        <v>1.6120689655172413</v>
      </c>
      <c r="BI18" s="763">
        <f>IF(ISNUMBER('Resol  Asuntos'!D18/NºAsuntos!G18),'Resol  Asuntos'!D18/NºAsuntos!G18," - ")</f>
        <v>0.17241379310344829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717</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3361</v>
      </c>
      <c r="AC23" s="1198">
        <f t="shared" si="5"/>
        <v>141</v>
      </c>
      <c r="AD23" s="1198">
        <f t="shared" si="5"/>
        <v>0</v>
      </c>
      <c r="AE23" s="1198">
        <f t="shared" si="5"/>
        <v>0</v>
      </c>
      <c r="AF23" s="1198">
        <f t="shared" si="5"/>
        <v>633</v>
      </c>
      <c r="AG23" s="1198">
        <f t="shared" si="5"/>
        <v>0</v>
      </c>
      <c r="AH23" s="1198">
        <f t="shared" si="5"/>
        <v>0</v>
      </c>
      <c r="AI23" s="1198">
        <f t="shared" si="5"/>
        <v>0</v>
      </c>
      <c r="AJ23" s="1198">
        <f t="shared" si="5"/>
        <v>0</v>
      </c>
      <c r="AK23" s="1198">
        <f t="shared" si="5"/>
        <v>0</v>
      </c>
      <c r="AL23" s="1198">
        <f t="shared" si="5"/>
        <v>0</v>
      </c>
      <c r="AM23" s="1198">
        <f t="shared" si="5"/>
        <v>104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365</v>
      </c>
      <c r="BD23" s="1198">
        <f t="shared" si="5"/>
        <v>2213</v>
      </c>
      <c r="BE23" s="1198">
        <f t="shared" si="5"/>
        <v>0</v>
      </c>
      <c r="BF23" s="1198">
        <f t="shared" si="5"/>
        <v>0</v>
      </c>
      <c r="BG23" s="1198">
        <f>IF(ISNUMBER(Datos!K23/Datos!J23),Datos!K23/Datos!J23," - ")</f>
        <v>1.0431409062693979</v>
      </c>
      <c r="BH23" s="1202">
        <f>IF(ISNUMBER(((Datos!L23/Datos!K23)*11)/factor_trimestre),((Datos!L23/Datos!K23)*11)/factor_trimestre," - ")</f>
        <v>2.0717048497470989</v>
      </c>
      <c r="BI23" s="1198">
        <f>SUBTOTAL(9,BI16:BI22)</f>
        <v>0.27364180505167268</v>
      </c>
      <c r="BJ23" s="1198">
        <f>SUBTOTAL(9,BJ16:BJ22)</f>
        <v>0</v>
      </c>
      <c r="BK23" s="1198">
        <f>SUBTOTAL(9,BK16:BK22)</f>
        <v>0</v>
      </c>
      <c r="BL23" s="1198">
        <f>IF(ISNUMBER((I23-AB23+L23)/(F23)),(I23-AB23+L23)/(F23)," - ")</f>
        <v>-4.6875871687587169</v>
      </c>
      <c r="BM23" s="1205">
        <f>IF(ISNUMBER((Datos!P23-Datos!Q23)/(Datos!R23-Datos!P23+Datos!Q23)),(Datos!P23-Datos!Q23)/(Datos!R23-Datos!P23+Datos!Q23)," - ")</f>
        <v>-4.5871559633027525E-2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730</v>
      </c>
      <c r="G31" s="1117">
        <f t="shared" si="18"/>
        <v>625</v>
      </c>
      <c r="H31" s="1119">
        <f t="shared" si="18"/>
        <v>0</v>
      </c>
      <c r="I31" s="1117">
        <f t="shared" si="18"/>
        <v>0</v>
      </c>
      <c r="J31" s="1119">
        <f t="shared" si="18"/>
        <v>0</v>
      </c>
      <c r="K31" s="1119">
        <f t="shared" si="18"/>
        <v>0</v>
      </c>
      <c r="L31" s="1180">
        <f t="shared" si="18"/>
        <v>0</v>
      </c>
      <c r="M31" s="1180">
        <f t="shared" si="18"/>
        <v>0</v>
      </c>
      <c r="N31" s="1180">
        <f t="shared" si="18"/>
        <v>321</v>
      </c>
      <c r="O31" s="1180">
        <f t="shared" si="18"/>
        <v>0</v>
      </c>
      <c r="P31" s="1180">
        <f t="shared" si="18"/>
        <v>0</v>
      </c>
      <c r="Q31" s="1119">
        <f t="shared" si="18"/>
        <v>736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3403</v>
      </c>
      <c r="AC31" s="1118">
        <f t="shared" si="19"/>
        <v>667</v>
      </c>
      <c r="AD31" s="1118">
        <f t="shared" si="19"/>
        <v>0</v>
      </c>
      <c r="AE31" s="1118">
        <f t="shared" si="19"/>
        <v>0</v>
      </c>
      <c r="AF31" s="1125">
        <f t="shared" si="19"/>
        <v>657</v>
      </c>
      <c r="AG31" s="1125">
        <f t="shared" si="19"/>
        <v>0</v>
      </c>
      <c r="AH31" s="1125">
        <f t="shared" si="19"/>
        <v>36</v>
      </c>
      <c r="AI31" s="1125">
        <f t="shared" si="19"/>
        <v>0</v>
      </c>
      <c r="AJ31" s="1118">
        <f t="shared" si="19"/>
        <v>0</v>
      </c>
      <c r="AK31" s="1125">
        <f t="shared" si="19"/>
        <v>0</v>
      </c>
      <c r="AL31" s="1125">
        <f t="shared" si="19"/>
        <v>0</v>
      </c>
      <c r="AM31" s="1125">
        <f t="shared" si="19"/>
        <v>1552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884</v>
      </c>
      <c r="BD31" s="1117">
        <f t="shared" si="19"/>
        <v>3129</v>
      </c>
      <c r="BE31" s="1117">
        <f t="shared" si="19"/>
        <v>0</v>
      </c>
      <c r="BF31" s="1127">
        <f t="shared" si="19"/>
        <v>0</v>
      </c>
      <c r="BG31" s="1223">
        <f>IF(ISNUMBER(Datos!K31/Datos!J31),Datos!K31/Datos!J31," - ")</f>
        <v>1.0126042632066727</v>
      </c>
      <c r="BH31" s="1223">
        <f>IF(ISNUMBER(((Datos!L31/Datos!K31)*11)/factor_trimestre),((Datos!L31/Datos!K31)*11)/factor_trimestre," - ")</f>
        <v>2.8753432180120813</v>
      </c>
      <c r="BI31" s="1103">
        <f>IF(ISNUMBER(Datos!J31/Datos!I31),Datos!J31/Datos!I31," - ")</f>
        <v>4.0381736526946108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-4.661643835616438</v>
      </c>
      <c r="BM31" s="1188">
        <f>IF(ISNUMBER((Datos!P31-Datos!Q31+R31)/(Datos!R31-Datos!P31+Datos!Q31-R31)),(Datos!P31-Datos!Q31+R31)/(Datos!R31-Datos!P31+Datos!Q31-R31)," - ")</f>
        <v>4.652730950775455E-2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366.94668095878268</v>
      </c>
      <c r="G33" s="674">
        <f>IF(ISNUMBER(STDEV(G8:G30)),STDEV(G8:G30),"-")</f>
        <v>279.27636082254747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1521.0602348675211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228.86927023334272</v>
      </c>
      <c r="BD33" s="673"/>
      <c r="BE33" s="673">
        <f>IF(ISNUMBER(STDEV(BE8:BE30)),STDEV(BE8:BE30),"-")</f>
        <v>0</v>
      </c>
      <c r="BF33" s="678">
        <f>IF(ISNUMBER(STDEV(BF8:BF30)),STDEV(BF8:BF30),"-")</f>
        <v>0</v>
      </c>
      <c r="BG33" s="1052">
        <f>IF(ISNUMBER(STDEV(BG8:BG30)),STDEV(BG8:BG30),"-")</f>
        <v>9.4341306057532326E-2</v>
      </c>
      <c r="BH33" s="1058">
        <f>IF(ISNUMBER(STDEV(BH8:BH30)),STDEV(BH8:BH30),"-")</f>
        <v>1.7653802821570779</v>
      </c>
      <c r="BI33" s="273">
        <f>IF(ISNUMBER(STDEV(BI8:BI30)),STDEV(BI8:BI30),"-")</f>
        <v>7.259289677577592E-2</v>
      </c>
      <c r="BJ33" s="244" t="str">
        <f>IF(ISNUMBER(BL33/BM33),BL33/BM33," - ")</f>
        <v xml:space="preserve"> - </v>
      </c>
      <c r="BK33" s="709"/>
      <c r="BL33" s="681">
        <f>IF(ISNUMBER(STDEV(BL8:BL30)),STDEV(BL8:BL30),"-")</f>
        <v>1.0301258429065692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jLSIiA84RCt5ISvDwDscKwkXYdHMOWfxaNpufbnBWuZ2723fHPWWhPIswlales3t8jiyV3rj8vqPE6FibplfQ==" saltValue="cQbJYwCJnAiLN+UJyxxV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UBEDA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15</v>
      </c>
      <c r="AA10" s="551">
        <f>IF(ISNUMBER(Datos!L10),Datos!L10,"-")</f>
        <v>24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11</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511</v>
      </c>
      <c r="AA12" s="551" t="str">
        <f>IF(ISNUMBER(IF(J_V="SI",Datos!L12,Datos!L12+Datos!AB12)-IF(Monitorios="SI",Datos!CD12,0)),
                          IF(J_V="SI",Datos!L12,Datos!L12+Datos!AB12)-IF(Monitorios="SI",Datos!CD12,0),
                          " - ")</f>
        <v xml:space="preserve"> - </v>
      </c>
      <c r="AB12" s="549"/>
      <c r="AC12" s="549"/>
      <c r="AD12" s="563"/>
      <c r="AE12" s="563">
        <f>IF(ISNUMBER(Datos!R12),Datos!R12," - ")</f>
        <v>1442</v>
      </c>
      <c r="AF12" s="693" t="str">
        <f>IF(ISNUMBER(Datos!BV12),Datos!BV12," - ")</f>
        <v xml:space="preserve"> - </v>
      </c>
      <c r="AG12" s="552" t="str">
        <f>IF(ISNUMBER(Datos!DV12),Datos!DV12," - ")</f>
        <v xml:space="preserve"> - </v>
      </c>
      <c r="AH12" s="553"/>
      <c r="AI12" s="554"/>
      <c r="AJ12" s="552">
        <f>IF(ISNUMBER(Datos!M12),Datos!M12," - ")</f>
        <v>508</v>
      </c>
      <c r="AK12" s="693">
        <f>IF(ISNUMBER(Datos!N12),Datos!N12," - ")</f>
        <v>907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3.7424114671163577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5.7184750733137828E-2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600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526</v>
      </c>
      <c r="AA14" s="1199">
        <f t="shared" si="3"/>
        <v>24</v>
      </c>
      <c r="AB14" s="1199">
        <f t="shared" si="3"/>
        <v>0</v>
      </c>
      <c r="AC14" s="1199">
        <f t="shared" si="3"/>
        <v>0</v>
      </c>
      <c r="AD14" s="1199">
        <f t="shared" si="3"/>
        <v>0</v>
      </c>
      <c r="AE14" s="1199">
        <f t="shared" si="3"/>
        <v>1448</v>
      </c>
      <c r="AF14" s="1211">
        <f t="shared" si="3"/>
        <v>0</v>
      </c>
      <c r="AG14" s="1211">
        <f t="shared" si="3"/>
        <v>0</v>
      </c>
      <c r="AH14" s="1211">
        <f t="shared" si="3"/>
        <v>0</v>
      </c>
      <c r="AI14" s="1211">
        <f t="shared" si="3"/>
        <v>0</v>
      </c>
      <c r="AJ14" s="1211">
        <f t="shared" si="3"/>
        <v>519</v>
      </c>
      <c r="AK14" s="1211">
        <f t="shared" si="3"/>
        <v>916</v>
      </c>
      <c r="AL14" s="1211">
        <f t="shared" si="3"/>
        <v>0</v>
      </c>
      <c r="AM14" s="1211">
        <f t="shared" si="3"/>
        <v>0</v>
      </c>
      <c r="AN14" s="1211">
        <f t="shared" si="3"/>
        <v>0</v>
      </c>
      <c r="AO14" s="1203">
        <f>IF(ISNUMBER(((NºAsuntos!I14/NºAsuntos!G14)*11)/factor_trimestre),((NºAsuntos!I14/NºAsuntos!G14)*11)/factor_trimestre," - ")</f>
        <v>3.7866611433305715</v>
      </c>
      <c r="AP14" s="1213" t="str">
        <f>IF(ISNUMBER(Datos!CI14/Datos!CJ14),Datos!CI14/Datos!CJ14," - ")</f>
        <v xml:space="preserve"> - </v>
      </c>
      <c r="AQ14" s="1236">
        <f t="shared" ref="AQ14:AV14" si="4">SUBTOTAL(9,AQ9:AQ13)</f>
        <v>0</v>
      </c>
      <c r="AR14" s="1236">
        <f t="shared" si="4"/>
        <v>-0.34281524926686219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717</v>
      </c>
      <c r="G17" s="552">
        <f>IF(ISNUMBER(IF(D_I="SI",Datos!I17,Datos!I17+Datos!AC17)),IF(D_I="SI",Datos!I17,Datos!I17+Datos!AC17)," - ")</f>
        <v>560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3013</v>
      </c>
      <c r="Z17" s="805">
        <f>IF(ISNUMBER(Datos!Q17),Datos!Q17," - ")</f>
        <v>136</v>
      </c>
      <c r="AA17" s="551">
        <f>IF(ISNUMBER(IF(D_I="SI",Datos!L17,Datos!L17+Datos!AF17)),IF(D_I="SI",Datos!L17,Datos!L17+Datos!AF17)," - ")</f>
        <v>582</v>
      </c>
      <c r="AB17" s="549"/>
      <c r="AC17" s="549"/>
      <c r="AD17" s="563"/>
      <c r="AE17" s="563">
        <f>IF(ISNUMBER(Datos!R17),Datos!R17," - ")</f>
        <v>103</v>
      </c>
      <c r="AF17" s="693" t="str">
        <f>IF(ISNUMBER(Datos!BV17),Datos!BV17," - ")</f>
        <v xml:space="preserve"> - </v>
      </c>
      <c r="AG17" s="552"/>
      <c r="AH17" s="553"/>
      <c r="AI17" s="554"/>
      <c r="AJ17" s="552">
        <f>IF(ISNUMBER(Datos!M17),Datos!M17," - ")</f>
        <v>305</v>
      </c>
      <c r="AK17" s="693">
        <f>IF(ISNUMBER(Datos!N17),Datos!N17," - ")</f>
        <v>2027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2.1247925655492863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348</v>
      </c>
      <c r="Z18" s="805">
        <f>IF(ISNUMBER(Datos!Q18),Datos!Q18," - ")</f>
        <v>5</v>
      </c>
      <c r="AA18" s="551">
        <f>IF(ISNUMBER(Datos!L18),Datos!L18,"-")</f>
        <v>51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60</v>
      </c>
      <c r="AK18" s="693">
        <f>IF(ISNUMBER(Datos!N18),Datos!N18," - ")</f>
        <v>186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1.6120689655172413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717</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136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3361</v>
      </c>
      <c r="Z23" s="1240">
        <f t="shared" si="6"/>
        <v>141</v>
      </c>
      <c r="AA23" s="1240">
        <f t="shared" si="6"/>
        <v>633</v>
      </c>
      <c r="AB23" s="1240">
        <f t="shared" si="6"/>
        <v>0</v>
      </c>
      <c r="AC23" s="1240">
        <f t="shared" si="6"/>
        <v>0</v>
      </c>
      <c r="AD23" s="1240">
        <f t="shared" si="6"/>
        <v>0</v>
      </c>
      <c r="AE23" s="1240">
        <f t="shared" si="6"/>
        <v>104</v>
      </c>
      <c r="AF23" s="1240">
        <f t="shared" si="6"/>
        <v>0</v>
      </c>
      <c r="AG23" s="1240">
        <f t="shared" si="6"/>
        <v>0</v>
      </c>
      <c r="AH23" s="1240">
        <f t="shared" si="6"/>
        <v>0</v>
      </c>
      <c r="AI23" s="1240">
        <f t="shared" si="6"/>
        <v>0</v>
      </c>
      <c r="AJ23" s="1240">
        <f t="shared" si="6"/>
        <v>365</v>
      </c>
      <c r="AK23" s="1240">
        <f t="shared" si="6"/>
        <v>2213</v>
      </c>
      <c r="AL23" s="1240">
        <f t="shared" si="6"/>
        <v>0</v>
      </c>
      <c r="AM23" s="1240">
        <f t="shared" si="6"/>
        <v>0</v>
      </c>
      <c r="AN23" s="1240">
        <f t="shared" si="6"/>
        <v>0</v>
      </c>
      <c r="AO23" s="1242">
        <f>IF(ISNUMBER(((NºAsuntos!I23/NºAsuntos!G23)*11)/factor_trimestre),((NºAsuntos!I23/NºAsuntos!G23)*11)/factor_trimestre," - ")</f>
        <v>2.0717048497470989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730</v>
      </c>
      <c r="G31" s="1117">
        <f t="shared" si="12"/>
        <v>625</v>
      </c>
      <c r="H31" s="1118">
        <f t="shared" si="12"/>
        <v>0</v>
      </c>
      <c r="I31" s="1117">
        <f t="shared" si="12"/>
        <v>0</v>
      </c>
      <c r="J31" s="1119">
        <f t="shared" si="12"/>
        <v>0</v>
      </c>
      <c r="K31" s="1117">
        <f t="shared" si="12"/>
        <v>0</v>
      </c>
      <c r="L31" s="1120">
        <f t="shared" si="12"/>
        <v>0</v>
      </c>
      <c r="M31" s="1117">
        <f t="shared" si="12"/>
        <v>0</v>
      </c>
      <c r="N31" s="1118">
        <f t="shared" si="12"/>
        <v>736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3403</v>
      </c>
      <c r="Z31" s="1124">
        <f t="shared" si="13"/>
        <v>667</v>
      </c>
      <c r="AA31" s="1125">
        <f t="shared" si="13"/>
        <v>657</v>
      </c>
      <c r="AB31" s="1125">
        <f t="shared" si="13"/>
        <v>0</v>
      </c>
      <c r="AC31" s="1125">
        <f t="shared" si="13"/>
        <v>0</v>
      </c>
      <c r="AD31" s="1126">
        <f t="shared" si="13"/>
        <v>0</v>
      </c>
      <c r="AE31" s="1126">
        <f t="shared" si="13"/>
        <v>1552</v>
      </c>
      <c r="AF31" s="1127">
        <f t="shared" si="13"/>
        <v>0</v>
      </c>
      <c r="AG31" s="1128">
        <f t="shared" si="13"/>
        <v>0</v>
      </c>
      <c r="AH31" s="1129">
        <f t="shared" si="13"/>
        <v>0</v>
      </c>
      <c r="AI31" s="1127">
        <f t="shared" si="13"/>
        <v>0</v>
      </c>
      <c r="AJ31" s="1117">
        <f t="shared" si="13"/>
        <v>884</v>
      </c>
      <c r="AK31" s="1117">
        <f t="shared" si="13"/>
        <v>3129</v>
      </c>
      <c r="AL31" s="1117">
        <f t="shared" si="13"/>
        <v>0</v>
      </c>
      <c r="AM31" s="1130">
        <f t="shared" si="13"/>
        <v>0</v>
      </c>
      <c r="AN31" s="1120">
        <f>IF(ISNUMBER(Datos!K31/Datos!J31),Datos!K31/Datos!J31," - ")</f>
        <v>1.0126042632066727</v>
      </c>
      <c r="AO31" s="1120">
        <f>IF(ISNUMBER(FIND("06",Criterios!A8,1)),(IF(ISNUMBER(((Datos!R31/Datos!Q31)*11)/factor_trimestre),((Datos!R31/Datos!Q31)*11)/factor_trimestre," - ")),(IF(ISNUMBER(((Datos!L31/Datos!K31)*11)/factor_trimestre),((Datos!L31/Datos!K31)*11)/factor_trimestre," - ")))</f>
        <v>2.8753432180120813</v>
      </c>
      <c r="AP31" s="1131" t="str">
        <f>IF(ISNUMBER(Datos!CI31/Datos!CJ31),Datos!CI31/Datos!CJ31," - ")</f>
        <v xml:space="preserve"> - </v>
      </c>
      <c r="AQ31" s="1131">
        <f>IF(OR(ISNUMBER(FIND("01",Criterios!A8,1)),ISNUMBER(FIND("02",Criterios!A8,1)),ISNUMBER(FIND("03",Criterios!A8,1)),ISNUMBER(FIND("04",Criterios!A8,1))),(J31-Y31+K31)/(F31-K31),(I31-Y31+K31)/(F31-K31))</f>
        <v>-4.661643835616438</v>
      </c>
      <c r="AR31" s="1131">
        <f>IF(ISNUMBER((Datos!P31-Datos!Q31+O31)/(Datos!R31-Datos!P31+Datos!Q31-O31)),(Datos!P31-Datos!Q31+O31)/(Datos!R31-Datos!P31+Datos!Q31-O31)," - ")</f>
        <v>4.652730950775455E-2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366.94668095878268</v>
      </c>
      <c r="G33" s="674">
        <f>IF(ISNUMBER(STDEV(G8:G30)),STDEV(G8:G30),"-")</f>
        <v>279.27636082254747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228.86927023334272</v>
      </c>
      <c r="AK33" s="276"/>
      <c r="AL33" s="276">
        <f>IF(ISNUMBER(STDEV(AL8:AL30)),STDEV(AL8:AL30),"-")</f>
        <v>0</v>
      </c>
      <c r="AM33" s="278">
        <f>IF(ISNUMBER(STDEV(AM8:AM30)),STDEV(AM8:AM30),"-")</f>
        <v>0</v>
      </c>
      <c r="AN33" s="660">
        <f>IF(ISNUMBER(STDEV(AN8:AN30)),STDEV(AN8:AN30),"-")</f>
        <v>0</v>
      </c>
      <c r="AO33" s="661">
        <f>IF(ISNUMBER(STDEV(AO8:AO30)),STDEV(AO8:AO30),"-")</f>
        <v>1.7367088852433517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zsDt5J/5k+zu5rTThZQSXa1Ww/M9QtAQMpaxGQ0icbTm3gYcDNCP2abKj4YxQKoujXY145EgLbFqXfHsO1JtA==" saltValue="g8MTCB5w4anqIKoxPgDc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cmvTHcBn74i+v7kwykKd+gWrl6BTJvfBbT23Ovn5z21u6w+K3HWnqAf7q/E4/JziDsfCLrW/4lRmeLmL/aWEg==" saltValue="cyzT+GSM/6WW0eyXvbBN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IExqW+GM+S1Jy//g+pLIJ1p1kuBSEsPdJfPi55q3tqfGPQY+zckfpuAnUgdyorHD9jzObE4SkYyQju7K6okqA==" saltValue="JdUjqheR98EC+I6naNKh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UBEDA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0.21499585749792874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0.15202502876380206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nqQHV24e+W3DWtyqrK5iF8/GxIjFifIIuHr1NPPPWksv9BmO8k9nqySiHo+5peF8TSMq4MGXnLLCCk1u9cbTA==" saltValue="aUpYZ/rPB6RuqQfYO/jk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aob9/T4pEt//8Rr5Y2lCX4ERovXtMIWP83vacTxFxjkB2RlpmJoA6BwcJ8UyXCT5jCkcVMRTvQOc56Js5T6Ag==" saltValue="TaQtVPuYY14dShxiFyp1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UBEDA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53</v>
      </c>
      <c r="F10" s="452">
        <f>IF(ISNUMBER(E10/B10),E10/B10," - ")</f>
        <v>53</v>
      </c>
      <c r="G10" s="451">
        <f>IF(ISNUMBER(Datos!K10),Datos!K10," - ")</f>
        <v>42</v>
      </c>
      <c r="H10" s="452">
        <f>IF(ISNUMBER(G10/B10),G10/B10," - ")</f>
        <v>42</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739</v>
      </c>
      <c r="D12" s="452">
        <f>IF(ISNUMBER(C12/Datos!BH12),C12/Datos!BH12," - ")</f>
        <v>246.33333333333334</v>
      </c>
      <c r="E12" s="451">
        <f>IF(ISNUMBER(IF(J_V="SI",Datos!J12,Datos!J12+Datos!Z12)),IF(J_V="SI",Datos!J12,Datos!J12+Datos!Z12)," - ")</f>
        <v>2441</v>
      </c>
      <c r="F12" s="452">
        <f>IF(ISNUMBER(E12/B12),E12/B12," - ")</f>
        <v>813.66666666666663</v>
      </c>
      <c r="G12" s="451">
        <f>IF(ISNUMBER(IF(J_V="SI",Datos!K12,Datos!K12+Datos!AA12)),IF(J_V="SI",Datos!K12,Datos!K12+Datos!AA12)," - ")</f>
        <v>2372</v>
      </c>
      <c r="H12" s="452">
        <f>IF(ISNUMBER(G12/B12),G12/B12," - ")</f>
        <v>790.66666666666663</v>
      </c>
      <c r="I12" s="451">
        <f>IF(ISNUMBER(IF(J_V="SI",Datos!L12,Datos!L12+Datos!AB12)),IF(J_V="SI",Datos!L12,Datos!L12+Datos!AB12)," - ")</f>
        <v>807</v>
      </c>
      <c r="J12" s="452">
        <f>IF(ISNUMBER(I12/B12),I12/B12," - ")</f>
        <v>269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752</v>
      </c>
      <c r="D14" s="1147" t="str">
        <f>IF(ISNUMBER(C14/Datos!BI14),C14/Datos!BI14," - ")</f>
        <v xml:space="preserve"> - </v>
      </c>
      <c r="E14" s="1146">
        <f>SUBTOTAL(9,E8:E13)</f>
        <v>2494</v>
      </c>
      <c r="F14" s="1147">
        <f>IF(ISNUMBER(E14/B14),E14/B14," - ")</f>
        <v>831.33333333333337</v>
      </c>
      <c r="G14" s="1146">
        <f>SUBTOTAL(9,G8:G13)</f>
        <v>2414</v>
      </c>
      <c r="H14" s="1147">
        <f>IF(ISNUMBER(G14/B14),G14/B14," - ")</f>
        <v>804.66666666666663</v>
      </c>
      <c r="I14" s="1146">
        <f>SUBTOTAL(9,I8:I13)</f>
        <v>831</v>
      </c>
      <c r="J14" s="1147">
        <f>IF(ISNUMBER(I14/B14),I14/B14," - ")</f>
        <v>277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560</v>
      </c>
      <c r="D17" s="452">
        <f>IF(ISNUMBER(C17/Datos!BH17),C17/Datos!BH17," - ")</f>
        <v>186.66666666666666</v>
      </c>
      <c r="E17" s="451">
        <f>IF(ISNUMBER(IF(D_I="SI",Datos!J17,Datos!J17+Datos!AD17)),IF(D_I="SI",Datos!J17,Datos!J17+Datos!AD17)," - ")</f>
        <v>2878</v>
      </c>
      <c r="F17" s="452">
        <f>IF(ISNUMBER(E17/B17),E17/B17," - ")</f>
        <v>959.33333333333337</v>
      </c>
      <c r="G17" s="451">
        <f>IF(ISNUMBER(IF(D_I="SI",Datos!K17,Datos!K17+Datos!AE17)),IF(D_I="SI",Datos!K17,Datos!K17+Datos!AE17)," - ")</f>
        <v>3013</v>
      </c>
      <c r="H17" s="452">
        <f>IF(ISNUMBER(G17/B17),G17/B17," - ")</f>
        <v>1004.3333333333334</v>
      </c>
      <c r="I17" s="451">
        <f>IF(ISNUMBER(IF(D_I="SI",Datos!L17,Datos!L17+Datos!AF17)),IF(D_I="SI",Datos!L17,Datos!L17+Datos!AF17)," - ")</f>
        <v>582</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344</v>
      </c>
      <c r="F18" s="452">
        <f>IF(ISNUMBER(E18/B18),E18/B18," - ")</f>
        <v>344</v>
      </c>
      <c r="G18" s="451">
        <f>IF(ISNUMBER(IF(D_I="SI",Datos!K18,Datos!K18+Datos!AE18)),IF(D_I="SI",Datos!K18,Datos!K18+Datos!AE18)," - ")</f>
        <v>348</v>
      </c>
      <c r="H18" s="452">
        <f>IF(ISNUMBER(G18/B18),G18/B18," - ")</f>
        <v>348</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612</v>
      </c>
      <c r="D23" s="1147" t="str">
        <f>IF(ISNUMBER(C23/Datos!BI23),C23/Datos!BI23," - ")</f>
        <v xml:space="preserve"> - </v>
      </c>
      <c r="E23" s="1146">
        <f>SUBTOTAL(9,E15:E22)</f>
        <v>3222</v>
      </c>
      <c r="F23" s="1147">
        <f>IF(ISNUMBER(E23/B23),E23/B23," - ")</f>
        <v>1074</v>
      </c>
      <c r="G23" s="1146">
        <f>SUBTOTAL(9,G15:G22)</f>
        <v>3361</v>
      </c>
      <c r="H23" s="1147">
        <f>IF(ISNUMBER(G23/B23),G23/B23," - ")</f>
        <v>1120.3333333333333</v>
      </c>
      <c r="I23" s="1146">
        <f>SUBTOTAL(9,I15:I22)</f>
        <v>633</v>
      </c>
      <c r="J23" s="1147">
        <f>IF(ISNUMBER(I23/B23),I23/B23," - ")</f>
        <v>211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1364</v>
      </c>
      <c r="D31" s="1085" t="str">
        <f>IF(ISNUMBER(C31/Datos!BI31),C31/Datos!BI31," - ")</f>
        <v xml:space="preserve"> - </v>
      </c>
      <c r="E31" s="1084">
        <f>SUBTOTAL(9,E9:E30)</f>
        <v>5716</v>
      </c>
      <c r="F31" s="1085">
        <f>IF(ISNUMBER(E31/B31),E31/B31," - ")</f>
        <v>1905.3333333333333</v>
      </c>
      <c r="G31" s="1084">
        <f>SUBTOTAL(9,G9:G30)</f>
        <v>5775</v>
      </c>
      <c r="H31" s="1085">
        <f>IF(ISNUMBER(G31/B31),G31/B31," - ")</f>
        <v>1925</v>
      </c>
      <c r="I31" s="1084">
        <f>SUBTOTAL(9,I9:I30)</f>
        <v>1464</v>
      </c>
      <c r="J31" s="1085">
        <f>IF(ISNUMBER(I31/B31),I31/B31," - ")</f>
        <v>488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fqNA80MKVEx5ub7Mj6X+Au6uB4keBqkTyroHMWM7nYuXx3r9OVE4l3vDQjG9mv0aS2CxMgyK8UcSXutAprzZw==" saltValue="HsTmsY3qXoFSH854sEmH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UBEDA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6.2857142857142856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508</v>
      </c>
      <c r="AM12" s="914">
        <f>IF(ISNUMBER(Datos!N12+DatosP!N17),Datos!N12+DatosP!N17," - ")</f>
        <v>907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3.7424114671163577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5.7184750733137828E-2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600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511</v>
      </c>
      <c r="AE14" s="1257">
        <f t="shared" si="1"/>
        <v>0</v>
      </c>
      <c r="AF14" s="1257">
        <f t="shared" si="1"/>
        <v>24</v>
      </c>
      <c r="AG14" s="1257">
        <f t="shared" si="1"/>
        <v>0</v>
      </c>
      <c r="AH14" s="1257">
        <f t="shared" si="1"/>
        <v>1442</v>
      </c>
      <c r="AI14" s="1257">
        <f t="shared" si="1"/>
        <v>0</v>
      </c>
      <c r="AJ14" s="1257">
        <f t="shared" si="1"/>
        <v>0</v>
      </c>
      <c r="AK14" s="1257">
        <f t="shared" si="1"/>
        <v>0</v>
      </c>
      <c r="AL14" s="1257">
        <f t="shared" si="1"/>
        <v>519</v>
      </c>
      <c r="AM14" s="1257">
        <f t="shared" si="1"/>
        <v>916</v>
      </c>
      <c r="AN14" s="1257">
        <f t="shared" si="1"/>
        <v>0</v>
      </c>
      <c r="AO14" s="1257">
        <f t="shared" si="1"/>
        <v>0</v>
      </c>
      <c r="AP14" s="1262">
        <f>IF(ISNUMBER(((Datos!L14/Datos!K14)*11)/factor_trimestre),((Datos!L14/Datos!K14)*11)/factor_trimestre," - ")</f>
        <v>4.1603235014272117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-3.2307692307692308</v>
      </c>
      <c r="AU14" s="1257" t="str">
        <f>IF(ISNUMBER((DatosP!#REF!-DatosP!#REF!+DatosP!#REF!)/(DatosP!#REF!+DatosP!#REF!-DatosP!#REF!-DatosP!#REF!)),(DatosP!#REF!-DatosP!#REF!+DatosP!#REF!)/(DatosP!#REF!+DatosP!#REF!-DatosP!#REF!-DatosP!#REF!)," - ")</f>
        <v xml:space="preserve"> - </v>
      </c>
      <c r="AV14" s="1263">
        <f>SUBTOTAL(9,AV9:AV13)</f>
        <v>5.7184750733137828E-2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2.0717048497470989</v>
      </c>
      <c r="AQ23" s="1262">
        <f>IF(ISNUMBER(((Datos!M23/Datos!L23)*11)/factor_trimestre),((Datos!M23/Datos!L23)*11)/factor_trimestre," - ")</f>
        <v>6.3428120063191153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-4.5871559633027525E-2</v>
      </c>
      <c r="AW23" s="1265">
        <f>IF(ISNUMBER((Datos!Q23-Datos!R23)/(Datos!S23-Datos!Q23+Datos!R23)),(Datos!Q23-Datos!R23)/(Datos!S23-Datos!Q23+Datos!R23)," - ")</f>
        <v>6.3683304647160072E-2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600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511</v>
      </c>
      <c r="AE31" s="1284">
        <f t="shared" si="9"/>
        <v>0</v>
      </c>
      <c r="AF31" s="1285">
        <f t="shared" si="9"/>
        <v>24</v>
      </c>
      <c r="AG31" s="1285">
        <f t="shared" si="9"/>
        <v>0</v>
      </c>
      <c r="AH31" s="1285">
        <f t="shared" si="9"/>
        <v>1442</v>
      </c>
      <c r="AI31" s="1285">
        <f t="shared" si="9"/>
        <v>0</v>
      </c>
      <c r="AJ31" s="1286">
        <f t="shared" si="9"/>
        <v>0</v>
      </c>
      <c r="AK31" s="1286">
        <f t="shared" si="9"/>
        <v>0</v>
      </c>
      <c r="AL31" s="1278">
        <f t="shared" si="9"/>
        <v>519</v>
      </c>
      <c r="AM31" s="1278">
        <f t="shared" si="9"/>
        <v>916</v>
      </c>
      <c r="AN31" s="1278">
        <f t="shared" si="9"/>
        <v>0</v>
      </c>
      <c r="AO31" s="1278">
        <f t="shared" si="9"/>
        <v>0</v>
      </c>
      <c r="AP31" s="1278">
        <f>IF(ISNUMBER(((Datos!L31/Datos!K31)*11)/factor_trimestre),((Datos!L31/Datos!K31)*11)/factor_trimestre," - ")</f>
        <v>2.8753432180120813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-3.2307692307692308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4.652730950775455E-2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263.80750557935232</v>
      </c>
      <c r="AM33" s="1006"/>
      <c r="AN33" s="1006">
        <f>IF(ISNUMBER(STDEV(AN8:AN30)),STDEV(AN8:AN30),"-")</f>
        <v>0</v>
      </c>
      <c r="AO33" s="1012">
        <f>IF(ISNUMBER(STDEV(AO8:AO30)),STDEV(AO8:AO30),"-")</f>
        <v>0</v>
      </c>
      <c r="AP33" s="1065">
        <f>IF(ISNUMBER(STDEV(AP8:AP30)),STDEV(AP8:AP30),"-")</f>
        <v>1.733776938779668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4FGdRLjui6hqvawax8FiG3WZtJimtjCVlG9oGC8n6p8/oCvS1UQ5ocXg7f21iN3Wu3qYFIKrLCmqBezx5RG10g==" saltValue="QrTC03CRbqQsxLyddNoV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UBEDA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JknI+rG+Y/KBh3X2rNCvpWhZQ2eb5qPLy957eHUeieVexoYPkTiCiLYAfSzYh5birooM9zl2zombh8T6UsdgQ==" saltValue="8AKb0hYGoYulDIisBMyL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UBEDA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9</v>
      </c>
      <c r="G10" s="452">
        <f>IF(ISNUMBER(F10/B10),F10/B10," - ")</f>
        <v>9</v>
      </c>
      <c r="H10" s="451">
        <f>IF(ISNUMBER(Datos!O10),Datos!O10," - ")</f>
        <v>33</v>
      </c>
      <c r="I10" s="452">
        <f t="shared" ref="I10:I13" si="2">IF(ISNUMBER(H10/B10),H10/B10," - ")</f>
        <v>33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508</v>
      </c>
      <c r="E12" s="452">
        <f t="shared" si="0"/>
        <v>169.33333333333334</v>
      </c>
      <c r="F12" s="451">
        <f>IF(ISNUMBER(Datos!N12),Datos!N12," - ")</f>
        <v>907</v>
      </c>
      <c r="G12" s="452">
        <f t="shared" si="1"/>
        <v>302.33333333333331</v>
      </c>
      <c r="H12" s="451">
        <f>IF(ISNUMBER(Datos!O12),Datos!O12," - ")</f>
        <v>1323</v>
      </c>
      <c r="I12" s="452">
        <f t="shared" si="2"/>
        <v>441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519</v>
      </c>
      <c r="E14" s="1147">
        <f t="shared" si="0"/>
        <v>129.75</v>
      </c>
      <c r="F14" s="1146">
        <f>SUBTOTAL(9,F9:F13)</f>
        <v>916</v>
      </c>
      <c r="G14" s="1147">
        <f t="shared" si="1"/>
        <v>229</v>
      </c>
      <c r="H14" s="1146">
        <f>SUBTOTAL(9,H9:H13)</f>
        <v>1356</v>
      </c>
      <c r="I14" s="1147">
        <f>IF(ISNUMBER(H14/B14),H14/B14," - ")</f>
        <v>339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305</v>
      </c>
      <c r="E17" s="452">
        <f t="shared" si="3"/>
        <v>101.66666666666667</v>
      </c>
      <c r="F17" s="451">
        <f>IF(ISNUMBER(Datos!N17),Datos!N17," - ")</f>
        <v>2027</v>
      </c>
      <c r="G17" s="452">
        <f t="shared" si="4"/>
        <v>675.66666666666663</v>
      </c>
      <c r="H17" s="451">
        <f>IF(ISNUMBER(Datos!O17),Datos!O17," - ")</f>
        <v>103</v>
      </c>
      <c r="I17" s="452">
        <f t="shared" si="5"/>
        <v>34.333333333333336</v>
      </c>
    </row>
    <row r="18" spans="1:9">
      <c r="A18" s="450" t="str">
        <f>Datos!A18</f>
        <v>Jdos. Violencia contra la mujer</v>
      </c>
      <c r="B18" s="480">
        <f>Datos!AO18</f>
        <v>1</v>
      </c>
      <c r="C18" s="481">
        <f>Datos!AQ18</f>
        <v>0</v>
      </c>
      <c r="D18" s="451">
        <f>IF(ISNUMBER(Datos!M18),Datos!M18," - ")</f>
        <v>60</v>
      </c>
      <c r="E18" s="452">
        <f>IF(ISNUMBER(D18/B18),D18/B18," - ")</f>
        <v>60</v>
      </c>
      <c r="F18" s="451">
        <f>IF(ISNUMBER(Datos!N18),Datos!N18," - ")</f>
        <v>186</v>
      </c>
      <c r="G18" s="452">
        <f>IF(ISNUMBER(F18/B18),F18/B18," - ")</f>
        <v>186</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365</v>
      </c>
      <c r="E23" s="1147">
        <f t="shared" si="3"/>
        <v>91.25</v>
      </c>
      <c r="F23" s="1146">
        <f>SUBTOTAL(9,F16:F22)</f>
        <v>2213</v>
      </c>
      <c r="G23" s="1147">
        <f t="shared" si="4"/>
        <v>553.25</v>
      </c>
      <c r="H23" s="1146">
        <f>SUBTOTAL(9,H16:H22)</f>
        <v>108</v>
      </c>
      <c r="I23" s="1147">
        <f>IF(ISNUMBER(H23/B23),H23/B23," - ")</f>
        <v>27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884</v>
      </c>
      <c r="E31" s="1085">
        <f>IF(ISNUMBER(D31/B31),D31/B31," - ")</f>
        <v>294.66666666666669</v>
      </c>
      <c r="F31" s="1084">
        <f>SUBTOTAL(9,F8:F30)</f>
        <v>3129</v>
      </c>
      <c r="G31" s="1085">
        <f>IF(ISNUMBER(F31/B31),F31/B31," - ")</f>
        <v>1043</v>
      </c>
      <c r="H31" s="1084">
        <f>SUBTOTAL(9,H8:H30)</f>
        <v>1464</v>
      </c>
      <c r="I31" s="1085">
        <f>IF(ISNUMBER(H31/B31),H31/B31," - ")</f>
        <v>488</v>
      </c>
    </row>
    <row r="34" spans="1:1">
      <c r="A34" s="439" t="str">
        <f>Criterios!A4</f>
        <v>Fecha Informe: 06 may. 2023</v>
      </c>
    </row>
    <row r="39" spans="1:1">
      <c r="A39" s="462"/>
    </row>
  </sheetData>
  <sheetProtection algorithmName="SHA-512" hashValue="4s7n1KxXU3WDigd0edwGl2WyOoobaC8RSzrWC/892IFyxtZeveqti6WFq4xsA7nNauxaJu41OQDkS7Kjo9p3rA==" saltValue="kQ49mFouw8uE3XePKhXH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UBEDA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15</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589</v>
      </c>
      <c r="C12" s="489">
        <f>IF(ISNUMBER(Datos!Q12),Datos!Q12," - ")</f>
        <v>511</v>
      </c>
      <c r="D12" s="456">
        <f>IF(ISNUMBER(Datos!R12),Datos!R12," - ")</f>
        <v>1442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600</v>
      </c>
      <c r="C14" s="1150">
        <f>SUBTOTAL(9,C9:C13)</f>
        <v>526</v>
      </c>
      <c r="D14" s="1148">
        <f>SUBTOTAL(9,D9:D13)</f>
        <v>1448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130</v>
      </c>
      <c r="C17" s="489">
        <f>IF(ISNUMBER(Datos!Q17),Datos!Q17," - ")</f>
        <v>136</v>
      </c>
      <c r="D17" s="456">
        <f>IF(ISNUMBER(Datos!R17),Datos!R17," - ")</f>
        <v>103</v>
      </c>
    </row>
    <row r="18" spans="1:4">
      <c r="A18" s="450" t="str">
        <f>Datos!A18</f>
        <v>Jdos. Violencia contra la mujer</v>
      </c>
      <c r="B18" s="488">
        <f>IF(ISNUMBER(Datos!P18),Datos!P18," - ")</f>
        <v>6</v>
      </c>
      <c r="C18" s="489">
        <f>IF(ISNUMBER(Datos!Q18),Datos!Q18," - ")</f>
        <v>5</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136</v>
      </c>
      <c r="C23" s="1150">
        <f>SUBTOTAL(9,C16:C22)</f>
        <v>141</v>
      </c>
      <c r="D23" s="1148">
        <f>SUBTOTAL(9,D16:D22)</f>
        <v>104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736</v>
      </c>
      <c r="C31" s="1089">
        <f>SUBTOTAL(9,C8:C30)</f>
        <v>667</v>
      </c>
      <c r="D31" s="1090">
        <f>SUBTOTAL(9,D8:D30)</f>
        <v>1552</v>
      </c>
    </row>
    <row r="32" spans="1:4" ht="7.5" customHeight="1"/>
    <row r="33" spans="1:1" ht="6" customHeight="1"/>
    <row r="34" spans="1:1">
      <c r="A34" s="439" t="str">
        <f>Criterios!A4</f>
        <v>Fecha Informe: 06 may. 2023</v>
      </c>
    </row>
    <row r="39" spans="1:1">
      <c r="A39" s="462"/>
    </row>
  </sheetData>
  <sheetProtection algorithmName="SHA-512" hashValue="Be3SecHRdi8+ugXv9gpYlNMrq3lMxJBqgaRMeQhdN8+mWLU/GQH9/kYoquAGxPWY7ekdio1RcqQIiJGrkHvFgg==" saltValue="zjVcm28Ipi+Omc3jTLy3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UBEDA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-1.8518518518518517E-2</v>
      </c>
      <c r="D10" s="515">
        <f>IF(ISNUMBER((Datos!K10-Datos!U10)/Datos!U10),(Datos!K10-Datos!U10)/Datos!U10," - ")</f>
        <v>-0.3</v>
      </c>
      <c r="E10" s="515">
        <f>IF(ISNUMBER((Datos!L10-Datos!V10)/Datos!V10),(Datos!L10-Datos!V10)/Datos!V10," - ")</f>
        <v>0.84615384615384615</v>
      </c>
      <c r="F10" s="515">
        <f>IF(ISNUMBER((Datos!M10-Datos!W10)/Datos!W10),(Datos!M10-Datos!W10)/Datos!W10," - ")</f>
        <v>-0.26666666666666666</v>
      </c>
      <c r="G10" s="516">
        <f>IF(ISNUMBER((Datos!N10-Datos!X10)/Datos!X10),(Datos!N10-Datos!X10)/Datos!X10," - ")</f>
        <v>0</v>
      </c>
      <c r="H10" s="514">
        <f>IF(ISNUMBER(((NºAsuntos!G10/NºAsuntos!E10)-Datos!BD10)/Datos!BD10),((NºAsuntos!G10/NºAsuntos!E10)-Datos!BD10)/Datos!BD10," - ")</f>
        <v>-0.28679245283018867</v>
      </c>
      <c r="I10" s="515">
        <f>IF(ISNUMBER(((NºAsuntos!I10/NºAsuntos!G10)-Datos!BE10)/Datos!BE10),((NºAsuntos!I10/NºAsuntos!G10)-Datos!BE10)/Datos!BE10," - ")</f>
        <v>1.6373626373626371</v>
      </c>
      <c r="J10" s="521">
        <f>IF(ISNUMBER((('Resol  Asuntos'!D10/NºAsuntos!G10)-Datos!BF10)/Datos!BF10),(('Resol  Asuntos'!D10/NºAsuntos!G10)-Datos!BF10)/Datos!BF10," - ")</f>
        <v>4.7619047619047672E-2</v>
      </c>
      <c r="K10" s="522">
        <f>IF(ISNUMBER((((NºAsuntos!C10+NºAsuntos!E10)/NºAsuntos!G10)-Datos!BG10)/Datos!BG10),(((NºAsuntos!C10+NºAsuntos!E10)/NºAsuntos!G10)-Datos!BG10)/Datos!BG10," - ")</f>
        <v>0.29158512720156565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-0.27549019607843139</v>
      </c>
      <c r="C12" s="515">
        <f>IF(ISNUMBER(
   IF(J_V="SI",(Datos!J12-Datos!T12)/Datos!T12,(Datos!J12+Datos!Z12-(Datos!T12+Datos!AH12))/(Datos!T12+Datos!AH12))
     ),IF(J_V="SI",(Datos!J12-Datos!T12)/Datos!T12,(Datos!J12+Datos!Z12-(Datos!T12+Datos!AH12))/(Datos!T12+Datos!AH12))," - ")</f>
        <v>0.14386129334582942</v>
      </c>
      <c r="D12" s="515">
        <f>IF(ISNUMBER(
   IF(J_V="SI",(Datos!K12-Datos!U12)/Datos!U12,(Datos!K12+Datos!AA12-(Datos!U12+Datos!AI12))/(Datos!U12+Datos!AI12))
     ),IF(J_V="SI",(Datos!K12-Datos!U12)/Datos!U12,(Datos!K12+Datos!AA12-(Datos!U12+Datos!AI12))/(Datos!U12+Datos!AI12))," - ")</f>
        <v>-1.7805383022774329E-2</v>
      </c>
      <c r="E12" s="515">
        <f>IF(ISNUMBER(
   IF(J_V="SI",(Datos!L12-Datos!V12)/Datos!V12,(Datos!L12+Datos!AB12-(Datos!V12+Datos!AJ12))/(Datos!V12+Datos!AJ12))
     ),IF(J_V="SI",(Datos!L12-Datos!V12)/Datos!V12,(Datos!L12+Datos!AB12-(Datos!V12+Datos!AJ12))/(Datos!V12+Datos!AJ12))," - ")</f>
        <v>9.2016238159675232E-2</v>
      </c>
      <c r="F12" s="515">
        <f>IF(ISNUMBER((Datos!M12-Datos!W12)/Datos!W12),(Datos!M12-Datos!W12)/Datos!W12," - ")</f>
        <v>0.13140311804008908</v>
      </c>
      <c r="G12" s="516">
        <f>IF(ISNUMBER((Datos!N12-Datos!X12)/Datos!X12),(Datos!N12-Datos!X12)/Datos!X12," - ")</f>
        <v>-6.8788501026694052E-2</v>
      </c>
      <c r="H12" s="514">
        <f>IF(ISNUMBER(((NºAsuntos!G12/NºAsuntos!E12)-Datos!BD12)/Datos!BD12),((NºAsuntos!G12/NºAsuntos!E12)-Datos!BD12)/Datos!BD12," - ")</f>
        <v>-0.14133416115141353</v>
      </c>
      <c r="I12" s="515">
        <f>IF(ISNUMBER(((NºAsuntos!I12/NºAsuntos!G12)-Datos!BE12)/Datos!BE12),((NºAsuntos!I12/NºAsuntos!G12)-Datos!BE12)/Datos!BE12," - ")</f>
        <v>0.11181248531012476</v>
      </c>
      <c r="J12" s="521">
        <f>IF(ISNUMBER((('Resol  Asuntos'!D12/NºAsuntos!G12)-Datos!BF12)/Datos!BF12),(('Resol  Asuntos'!D12/NºAsuntos!G12)-Datos!BF12)/Datos!BF12," - ")</f>
        <v>-0.46898449051390106</v>
      </c>
      <c r="K12" s="522">
        <f>IF(ISNUMBER((((NºAsuntos!C12+NºAsuntos!E12)/NºAsuntos!G12)-Datos!BG12)/Datos!BG12),(((NºAsuntos!C12+NºAsuntos!E12)/NºAsuntos!G12)-Datos!BG12)/Datos!BG12," - ")</f>
        <v>2.652110171403638E-2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-0.2762271414821944</v>
      </c>
      <c r="C14" s="1152">
        <f>IF(ISNUMBER(
   IF(J_V="SI",(Datos!J14-Datos!T14)/Datos!T14,(Datos!J14+Datos!Z14-(Datos!T14+Datos!AH14))/(Datos!T14+Datos!AH14))
     ),IF(J_V="SI",(Datos!J14-Datos!T14)/Datos!T14,(Datos!J14+Datos!Z14-(Datos!T14+Datos!AH14))/(Datos!T14+Datos!AH14))," - ")</f>
        <v>0.13985374771480805</v>
      </c>
      <c r="D14" s="1152">
        <f>IF(ISNUMBER(
   IF(J_V="SI",(Datos!K14-Datos!U14)/Datos!U14,(Datos!K14+Datos!AA14-(Datos!U14+Datos!AI14))/(Datos!U14+Datos!AI14))
     ),IF(J_V="SI",(Datos!K14-Datos!U14)/Datos!U14,(Datos!K14+Datos!AA14-(Datos!U14+Datos!AI14))/(Datos!U14+Datos!AI14))," - ")</f>
        <v>-2.4646464646464646E-2</v>
      </c>
      <c r="E14" s="1152">
        <f>IF(ISNUMBER(
   IF(J_V="SI",(Datos!L14-Datos!V14)/Datos!V14,(Datos!L14+Datos!AB14-(Datos!V14+Datos!AJ14))/(Datos!V14+Datos!AJ14))
     ),IF(J_V="SI",(Datos!L14-Datos!V14)/Datos!V14,(Datos!L14+Datos!AB14-(Datos!V14+Datos!AJ14))/(Datos!V14+Datos!AJ14))," - ")</f>
        <v>0.10505319148936171</v>
      </c>
      <c r="F14" s="1153">
        <f>IF(ISNUMBER((Datos!M14-Datos!W14)/Datos!W14),(Datos!M14-Datos!W14)/Datos!W14," - ")</f>
        <v>0.11853448275862069</v>
      </c>
      <c r="G14" s="1154">
        <f>IF(ISNUMBER((Datos!N14-Datos!X14)/Datos!X14),(Datos!N14-Datos!X14)/Datos!X14," - ")</f>
        <v>-6.8158697863682602E-2</v>
      </c>
      <c r="H14" s="1154">
        <f>IF(ISNUMBER(((NºAsuntos!G14/NºAsuntos!E14)-Datos!BD14)/Datos!BD14),((NºAsuntos!G14/NºAsuntos!E14)-Datos!BD14)/Datos!BD14," - ")</f>
        <v>-0.14431694653025845</v>
      </c>
      <c r="I14" s="1154">
        <f>IF(ISNUMBER(((NºAsuntos!I14/NºAsuntos!G14)-Datos!BE14)/Datos!BE14),((NºAsuntos!I14/NºAsuntos!G14)-Datos!BE14)/Datos!BE14," - ")</f>
        <v>0.13297707081034385</v>
      </c>
      <c r="J14" s="1154">
        <f>IF(ISNUMBER((('Resol  Asuntos'!D14/NºAsuntos!G14)-Datos!BF14)/Datos!BF14),(('Resol  Asuntos'!D14/NºAsuntos!G14)-Datos!BF14)/Datos!BF14," - ")</f>
        <v>-0.46196688846574963</v>
      </c>
      <c r="K14" s="1154">
        <f>IF(ISNUMBER((((NºAsuntos!C14+NºAsuntos!E14)/NºAsuntos!G14)-Datos!BG14)/Datos!BG14),(((NºAsuntos!C14+NºAsuntos!E14)/NºAsuntos!G14)-Datos!BG14)/Datos!BG14," - ")</f>
        <v>3.1305865048656088E-2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-7.0921985815602835E-3</v>
      </c>
      <c r="C17" s="515">
        <f>IF(ISNUMBER(
   IF(D_I="SI",(Datos!J17-Datos!T17)/Datos!T17,(Datos!J17+Datos!AD17-(Datos!T17+Datos!AL17))/(Datos!T17+Datos!AL17))
     ),IF(D_I="SI",(Datos!J17-Datos!T17)/Datos!T17,(Datos!J17+Datos!AD17-(Datos!T17+Datos!AL17))/(Datos!T17+Datos!AL17))," - ")</f>
        <v>-7.9283005860048255E-3</v>
      </c>
      <c r="D17" s="515">
        <f>IF(ISNUMBER(
   IF(D_I="SI",(Datos!K17-Datos!U17)/Datos!U17,(Datos!K17+Datos!AE17-(Datos!U17+Datos!AM17))/(Datos!U17+Datos!AM17))
     ),IF(D_I="SI",(Datos!K17-Datos!U17)/Datos!U17,(Datos!K17+Datos!AE17-(Datos!U17+Datos!AM17))/(Datos!U17+Datos!AM17))," - ")</f>
        <v>2.3089983022071308E-2</v>
      </c>
      <c r="E17" s="515">
        <f>IF(ISNUMBER(
   IF(D_I="SI",(Datos!L17-Datos!V17)/Datos!V17,(Datos!L17+Datos!AF17-(Datos!V17+Datos!AN17))/(Datos!V17+Datos!AN17))
     ),IF(D_I="SI",(Datos!L17-Datos!V17)/Datos!V17,(Datos!L17+Datos!AF17-(Datos!V17+Datos!AN17))/(Datos!V17+Datos!AN17))," - ")</f>
        <v>3.9285714285714285E-2</v>
      </c>
      <c r="F17" s="515">
        <f>IF(ISNUMBER((Datos!M17-Datos!W17)/Datos!W17),(Datos!M17-Datos!W17)/Datos!W17," - ")</f>
        <v>-4.6875E-2</v>
      </c>
      <c r="G17" s="516">
        <f>IF(ISNUMBER((Datos!N17-Datos!X17)/Datos!X17),(Datos!N17-Datos!X17)/Datos!X17," - ")</f>
        <v>1.6040100250626566E-2</v>
      </c>
      <c r="H17" s="514">
        <f>IF(ISNUMBER(((NºAsuntos!G17/NºAsuntos!E17)-Datos!BD17)/Datos!BD17),((NºAsuntos!G17/NºAsuntos!E17)-Datos!BD17)/Datos!BD17," - ")</f>
        <v>3.1266171211615318E-2</v>
      </c>
      <c r="I17" s="515">
        <f>IF(ISNUMBER(((NºAsuntos!I17/NºAsuntos!G17)-Datos!BE17)/Datos!BE17),((NºAsuntos!I17/NºAsuntos!G17)-Datos!BE17)/Datos!BE17," - ")</f>
        <v>1.583021193874173E-2</v>
      </c>
      <c r="J17" s="521">
        <f>IF(ISNUMBER((('Resol  Asuntos'!D17/NºAsuntos!G17)-Datos!BF17)/Datos!BF17),(('Resol  Asuntos'!D17/NºAsuntos!G17)-Datos!BF17)/Datos!BF17," - ")</f>
        <v>-6.838595253899761E-2</v>
      </c>
      <c r="K17" s="522">
        <f>IF(ISNUMBER((((NºAsuntos!C17+NºAsuntos!E17)/NºAsuntos!G17)-Datos!BG17)/Datos!BG17),(((NºAsuntos!C17+NºAsuntos!E17)/NºAsuntos!G17)-Datos!BG17)/Datos!BG17," - ")</f>
        <v>-3.0185214718902027E-2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0.26007326007326009</v>
      </c>
      <c r="D18" s="515">
        <f>IF(ISNUMBER(
   IF(D_I="SI",(Datos!K18-Datos!U18)/Datos!U18,(Datos!K18+Datos!AE18-(Datos!U18+Datos!AM18))/(Datos!U18+Datos!AM18))
     ),IF(D_I="SI",(Datos!K18-Datos!U18)/Datos!U18,(Datos!K18+Datos!AE18-(Datos!U18+Datos!AM18))/(Datos!U18+Datos!AM18))," - ")</f>
        <v>0.2608695652173913</v>
      </c>
      <c r="E18" s="515">
        <f>IF(ISNUMBER(
   IF(D_I="SI",(Datos!L18-Datos!V18)/Datos!V18,(Datos!L18+Datos!AF18-(Datos!V18+Datos!AN18))/(Datos!V18+Datos!AN18))
     ),IF(D_I="SI",(Datos!L18-Datos!V18)/Datos!V18,(Datos!L18+Datos!AF18-(Datos!V18+Datos!AN18))/(Datos!V18+Datos!AN18))," - ")</f>
        <v>-1.9230769230769232E-2</v>
      </c>
      <c r="F18" s="515">
        <f>IF(ISNUMBER((Datos!M18-Datos!W18)/Datos!W18),(Datos!M18-Datos!W18)/Datos!W18," - ")</f>
        <v>0.36363636363636365</v>
      </c>
      <c r="G18" s="516">
        <f>IF(ISNUMBER((Datos!N18-Datos!X18)/Datos!X18),(Datos!N18-Datos!X18)/Datos!X18," - ")</f>
        <v>0.22368421052631579</v>
      </c>
      <c r="H18" s="514">
        <f>IF(ISNUMBER(((NºAsuntos!G18/NºAsuntos!E18)-Datos!BD18)/Datos!BD18),((NºAsuntos!G18/NºAsuntos!E18)-Datos!BD18)/Datos!BD18," - ")</f>
        <v>6.3195146612746048E-4</v>
      </c>
      <c r="I18" s="515">
        <f>IF(ISNUMBER(((NºAsuntos!I18/NºAsuntos!G18)-Datos!BE18)/Datos!BE18),((NºAsuntos!I18/NºAsuntos!G18)-Datos!BE18)/Datos!BE18," - ")</f>
        <v>-0.22214854111405843</v>
      </c>
      <c r="J18" s="521">
        <f>IF(ISNUMBER((('Resol  Asuntos'!D18/NºAsuntos!G18)-Datos!BF18)/Datos!BF18),(('Resol  Asuntos'!D18/NºAsuntos!G18)-Datos!BF18)/Datos!BF18," - ")</f>
        <v>8.1504702194357528E-2</v>
      </c>
      <c r="K18" s="522">
        <f>IF(ISNUMBER((((NºAsuntos!C18+NºAsuntos!E18)/NºAsuntos!G18)-Datos!BG18)/Datos!BG18),(((NºAsuntos!C18+NºAsuntos!E18)/NºAsuntos!G18)-Datos!BG18)/Datos!BG18," - ")</f>
        <v>-3.9544447959506387E-2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-9.7087378640776691E-3</v>
      </c>
      <c r="C23" s="1152">
        <f>IF(ISNUMBER(
   IF(Criterios!B14="SI",(Datos!J23-Datos!T23)/Datos!T23,(Datos!J23+Datos!AD23-(Datos!T23+Datos!AL23))/(Datos!T23+Datos!AL23))
     ),IF(Criterios!B14="SI",(Datos!J23-Datos!T23)/Datos!T23,(Datos!J23+Datos!AD23-(Datos!T23+Datos!AL23))/(Datos!T23+Datos!AL23))," - ")</f>
        <v>1.5122873345935728E-2</v>
      </c>
      <c r="D23" s="1152">
        <f>IF(ISNUMBER(
   IF(Criterios!B14="SI",(Datos!K23-Datos!U23)/Datos!U23,(Datos!K23+Datos!AE23-(Datos!U23+Datos!AM23))/(Datos!U23+Datos!AM23))
     ),IF(Criterios!B14="SI",(Datos!K23-Datos!U23)/Datos!U23,(Datos!K23+Datos!AE23-(Datos!U23+Datos!AM23))/(Datos!U23+Datos!AM23))," - ")</f>
        <v>4.3464762496119219E-2</v>
      </c>
      <c r="E23" s="1152">
        <f>IF(ISNUMBER(
   IF(Criterios!B14="SI",(Datos!L23-Datos!V23)/Datos!V23,(Datos!L23+Datos!AF23-(Datos!V23+Datos!AN23))/(Datos!V23+Datos!AN23))
     ),IF(Criterios!B14="SI",(Datos!L23-Datos!V23)/Datos!V23,(Datos!L23+Datos!AF23-(Datos!V23+Datos!AN23))/(Datos!V23+Datos!AN23))," - ")</f>
        <v>3.4313725490196081E-2</v>
      </c>
      <c r="F23" s="1153">
        <f>IF(ISNUMBER((Datos!M23-Datos!W23)/Datos!W23),(Datos!M23-Datos!W23)/Datos!W23," - ")</f>
        <v>2.7472527472527475E-3</v>
      </c>
      <c r="G23" s="1154">
        <f>IF(ISNUMBER((Datos!N23-Datos!X23)/Datos!X23),(Datos!N23-Datos!X23)/Datos!X23," - ")</f>
        <v>3.0740568234746156E-2</v>
      </c>
      <c r="H23" s="1154">
        <f>IF(ISNUMBER(((NºAsuntos!G23/NºAsuntos!E23)-Datos!BD23)/Datos!BD23),((NºAsuntos!G23/NºAsuntos!E23)-Datos!BD23)/Datos!BD23," - ")</f>
        <v>2.7919663613495398E-2</v>
      </c>
      <c r="I23" s="1154">
        <f>IF(ISNUMBER(((NºAsuntos!I23/NºAsuntos!G23)-Datos!BE23)/Datos!BE23),((NºAsuntos!I23/NºAsuntos!G23)-Datos!BE23)/Datos!BE23," - ")</f>
        <v>-8.7698572437009438E-3</v>
      </c>
      <c r="J23" s="1154">
        <f>IF(ISNUMBER((('Resol  Asuntos'!D23/NºAsuntos!G23)-Datos!BF23)/Datos!BF23),(('Resol  Asuntos'!D23/NºAsuntos!G23)-Datos!BF23)/Datos!BF23," - ")</f>
        <v>-3.9021451621868153E-2</v>
      </c>
      <c r="K23" s="1154">
        <f>IF(ISNUMBER((((NºAsuntos!C23+NºAsuntos!E23)/NºAsuntos!G23)-Datos!BG23)/Datos!BG23),(((NºAsuntos!C23+NºAsuntos!E23)/NºAsuntos!G23)-Datos!BG23)/Datos!BG23," - ")</f>
        <v>-3.1039680776140385E-2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-0.17682558841279419</v>
      </c>
      <c r="C31" s="1092">
        <f>IF(ISNUMBER(
   IF(J_V="SI",(Datos!J31-Datos!T31)/Datos!T31,(Datos!J31+Datos!Z31-(Datos!T31+Datos!AH31))/(Datos!T31+Datos!AH31))
     ),IF(J_V="SI",(Datos!J31-Datos!T31)/Datos!T31,(Datos!J31+Datos!Z31-(Datos!T31+Datos!AH31))/(Datos!T31+Datos!AH31))," - ")</f>
        <v>6.6020141738157401E-2</v>
      </c>
      <c r="D31" s="1092">
        <f>IF(ISNUMBER(
   IF(J_V="SI",(Datos!K31-Datos!U31)/Datos!U31,(Datos!K31+Datos!AA31-(Datos!U31+Datos!AI31))/(Datos!U31+Datos!AI31))
     ),IF(J_V="SI",(Datos!K31-Datos!U31)/Datos!U31,(Datos!K31+Datos!AA31-(Datos!U31+Datos!AI31))/(Datos!U31+Datos!AI31))," - ")</f>
        <v>1.3869382022471909E-2</v>
      </c>
      <c r="E31" s="1092">
        <f>IF(ISNUMBER(
   IF(J_V="SI",(Datos!L31-Datos!V31)/Datos!V31,(Datos!L31+Datos!AB31-(Datos!V31+Datos!AJ31))/(Datos!V31+Datos!AJ31))
     ),IF(J_V="SI",(Datos!L31-Datos!V31)/Datos!V31,(Datos!L31+Datos!AB31-(Datos!V31+Datos!AJ31))/(Datos!V31+Datos!AJ31))," - ")</f>
        <v>7.331378299120235E-2</v>
      </c>
      <c r="F31" s="1093">
        <f>IF(ISNUMBER((Datos!M31-Datos!W31)/Datos!W31),(Datos!M31-Datos!W31)/Datos!W31," - ")</f>
        <v>6.7632850241545889E-2</v>
      </c>
      <c r="G31" s="1094">
        <f>IF(ISNUMBER((Datos!N31-Datos!X31)/Datos!X31),(Datos!N31-Datos!X31)/Datos!X31," - ")</f>
        <v>-3.1948881789137381E-4</v>
      </c>
      <c r="H31" s="1095">
        <f>IF(ISNUMBER((Tasas!B31-Datos!BD31)/Datos!BD31),(Tasas!B31-Datos!BD31)/Datos!BD31," - ")</f>
        <v>-4.8920989082488806E-2</v>
      </c>
      <c r="I31" s="1096">
        <f>IF(ISNUMBER((Tasas!C31-Datos!BE31)/Datos!BE31),(Tasas!C31-Datos!BE31)/Datos!BE31," - ")</f>
        <v>5.8631222150283817E-2</v>
      </c>
      <c r="J31" s="1097">
        <f>IF(ISNUMBER((Tasas!D31-Datos!BF31)/Datos!BF31),(Tasas!D31-Datos!BF31)/Datos!BF31," - ")</f>
        <v>-0.35557488089638856</v>
      </c>
      <c r="K31" s="1097">
        <f>IF(ISNUMBER((Tasas!E31-Datos!BG31)/Datos!BG31),(Tasas!E31-Datos!BG31)/Datos!BG31," - ")</f>
        <v>-5.1078427200381355E-3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ze11WYShO0DKmgefHItdGtznO7OfKzlSfRtmGoH1MCQYvRFNUfukfH236Ow4+JUoyP88navmJrQmviy9Lw/YA==" saltValue="71Zp4ny7ZtDznU8R+RDN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UBEDA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0.79245283018867929</v>
      </c>
      <c r="C10" s="498">
        <f>IF(ISNUMBER(NºAsuntos!I10/NºAsuntos!G10),NºAsuntos!I10/NºAsuntos!G10," - ")</f>
        <v>0.5714285714285714</v>
      </c>
      <c r="D10" s="499">
        <f>IF(ISNUMBER('Resol  Asuntos'!D10/NºAsuntos!G10),'Resol  Asuntos'!D10/NºAsuntos!G10," - ")</f>
        <v>0.26190476190476192</v>
      </c>
      <c r="E10" s="500">
        <f>IF(ISNUMBER((NºAsuntos!C10+NºAsuntos!E10)/NºAsuntos!G10),(NºAsuntos!C10+NºAsuntos!E10)/NºAsuntos!G10," - ")</f>
        <v>1.5714285714285714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0.97173289635395332</v>
      </c>
      <c r="C12" s="498">
        <f>IF(ISNUMBER(NºAsuntos!I12/NºAsuntos!G12),NºAsuntos!I12/NºAsuntos!G12," - ")</f>
        <v>0.34021922428330525</v>
      </c>
      <c r="D12" s="499">
        <f>IF(ISNUMBER('Resol  Asuntos'!D12/NºAsuntos!G12),'Resol  Asuntos'!D12/NºAsuntos!G12," - ")</f>
        <v>0.21416526138279932</v>
      </c>
      <c r="E12" s="500">
        <f>IF(ISNUMBER((NºAsuntos!C12+NºAsuntos!E12)/NºAsuntos!G12),(NºAsuntos!C12+NºAsuntos!E12)/NºAsuntos!G12," - ")</f>
        <v>1.3406408094435076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0.96792301523656776</v>
      </c>
      <c r="C14" s="1156">
        <f>IF(ISNUMBER(NºAsuntos!I14/NºAsuntos!G14),NºAsuntos!I14/NºAsuntos!G14," - ")</f>
        <v>0.34424192212096105</v>
      </c>
      <c r="D14" s="1157">
        <f>IF(ISNUMBER('Resol  Asuntos'!D14/NºAsuntos!G14),'Resol  Asuntos'!D14/NºAsuntos!G14," - ")</f>
        <v>0.21499585749792874</v>
      </c>
      <c r="E14" s="1158">
        <f>IF(ISNUMBER((NºAsuntos!C14+NºAsuntos!E14)/NºAsuntos!G14),(NºAsuntos!C14+NºAsuntos!E14)/NºAsuntos!G14," - ")</f>
        <v>1.3446561723280861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1.0469075747046561</v>
      </c>
      <c r="C17" s="498">
        <f>IF(ISNUMBER(NºAsuntos!I17/NºAsuntos!G17),NºAsuntos!I17/NºAsuntos!G17," - ")</f>
        <v>0.19316296050448059</v>
      </c>
      <c r="D17" s="499">
        <f>IF(ISNUMBER('Resol  Asuntos'!D17/NºAsuntos!G17),'Resol  Asuntos'!D17/NºAsuntos!G17," - ")</f>
        <v>0.10122801194822437</v>
      </c>
      <c r="E17" s="500">
        <f>IF(ISNUMBER((NºAsuntos!C17+NºAsuntos!E17)/NºAsuntos!G17),(NºAsuntos!C17+NºAsuntos!E17)/NºAsuntos!G17," - ")</f>
        <v>1.1410554264852306</v>
      </c>
      <c r="G17" s="523"/>
    </row>
    <row r="18" spans="1:7">
      <c r="A18" s="450" t="str">
        <f>Datos!A18</f>
        <v>Jdos. Violencia contra la mujer</v>
      </c>
      <c r="B18" s="497">
        <f>IF(ISNUMBER(NºAsuntos!G18/NºAsuntos!E18),NºAsuntos!G18/NºAsuntos!E18," - ")</f>
        <v>1.0116279069767442</v>
      </c>
      <c r="C18" s="498">
        <f>IF(ISNUMBER(NºAsuntos!I18/NºAsuntos!G18),NºAsuntos!I18/NºAsuntos!G18," - ")</f>
        <v>0.14655172413793102</v>
      </c>
      <c r="D18" s="499">
        <f>IF(ISNUMBER('Resol  Asuntos'!D18/NºAsuntos!G18),'Resol  Asuntos'!D18/NºAsuntos!G18," - ")</f>
        <v>0.17241379310344829</v>
      </c>
      <c r="E18" s="500">
        <f>IF(ISNUMBER((NºAsuntos!C18+NºAsuntos!E18)/NºAsuntos!G18),(NºAsuntos!C18+NºAsuntos!E18)/NºAsuntos!G18," - ")</f>
        <v>1.1379310344827587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1.0431409062693979</v>
      </c>
      <c r="C23" s="1156">
        <f>IF(ISNUMBER(NºAsuntos!I23/NºAsuntos!G23),NºAsuntos!I23/NºAsuntos!G23," - ")</f>
        <v>0.18833680452246354</v>
      </c>
      <c r="D23" s="1159">
        <f>IF(ISNUMBER('Resol  Asuntos'!D23/NºAsuntos!G23),'Resol  Asuntos'!D23/NºAsuntos!G23," - ")</f>
        <v>0.10859863135971437</v>
      </c>
      <c r="E23" s="1158">
        <f>IF(ISNUMBER((NºAsuntos!C23+NºAsuntos!E23)/NºAsuntos!G23),(NºAsuntos!C23+NºAsuntos!E23)/NºAsuntos!G23," - ")</f>
        <v>1.1407319250223147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1.0103219034289712</v>
      </c>
      <c r="C31" s="1099">
        <f>IF(ISNUMBER(NºAsuntos!I31/NºAsuntos!G31),NºAsuntos!I31/NºAsuntos!G31," - ")</f>
        <v>0.25350649350649351</v>
      </c>
      <c r="D31" s="1100">
        <f>IF(ISNUMBER('Resol  Asuntos'!D31/NºAsuntos!G31),'Resol  Asuntos'!D31/NºAsuntos!G31," - ")</f>
        <v>0.15307359307359308</v>
      </c>
      <c r="E31" s="1101">
        <f>IF(ISNUMBER((NºAsuntos!C31+NºAsuntos!E31)/NºAsuntos!G31),(NºAsuntos!C31+NºAsuntos!E31)/NºAsuntos!G31," - ")</f>
        <v>1.2259740259740259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EB1QK/bpkwpUfO/OlAR40FIC0dE1C8vUpZNIOcnPu3IZushnyz4cflPv6RAbvEb1vhTDizT8jAFy8XJwXTrKQ==" saltValue="f7WJqr/wAtogUwZNeJ7u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UBEDA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15</v>
      </c>
      <c r="Y10" s="374">
        <f t="shared" ref="Y10:Y13" si="0">SUM(W10:X10)</f>
        <v>57</v>
      </c>
      <c r="Z10" s="375" t="str">
        <f>IF(ISNUMBER(Datos!CC10),Datos!CC10," - ")</f>
        <v xml:space="preserve"> - </v>
      </c>
      <c r="AA10" s="372">
        <f>IF(ISNUMBER(Datos!L10),Datos!L10,"-")</f>
        <v>24</v>
      </c>
      <c r="AB10" s="374">
        <f>IF(ISNUMBER(Datos!R10),Datos!R10," - ")</f>
        <v>6</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0.79245283018867929</v>
      </c>
      <c r="AM10" s="284">
        <f>IF(ISNUMBER(((NºAsuntos!I10/NºAsuntos!G10)*11)/factor_trimestre),((NºAsuntos!I10/NºAsuntos!G10)*11)/factor_trimestre," - ")</f>
        <v>6.2857142857142856</v>
      </c>
      <c r="AN10" s="267">
        <f>IF(ISNUMBER('Resol  Asuntos'!D10/NºAsuntos!G10),'Resol  Asuntos'!D10/NºAsuntos!G10," - ")</f>
        <v>0.26190476190476192</v>
      </c>
      <c r="AO10" s="268">
        <f>IF(ISNUMBER((NºAsuntos!C10+NºAsuntos!E10)/NºAsuntos!G10),(NºAsuntos!C10+NºAsuntos!E10)/NºAsuntos!G10," - ")</f>
        <v>1.5714285714285714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511</v>
      </c>
      <c r="Y12" s="374">
        <f t="shared" si="0"/>
        <v>511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508</v>
      </c>
      <c r="AJ12" s="243" t="str">
        <f>IF(ISNUMBER(Datos!BW12),Datos!BW12," - ")</f>
        <v xml:space="preserve"> - </v>
      </c>
      <c r="AK12" s="242" t="str">
        <f>IF(ISNUMBER(Datos!BX12),Datos!BX12," - ")</f>
        <v xml:space="preserve"> - </v>
      </c>
      <c r="AL12" s="266">
        <f>IF(ISNUMBER(NºAsuntos!G12/NºAsuntos!E12),NºAsuntos!G12/NºAsuntos!E12," - ")</f>
        <v>0.97173289635395332</v>
      </c>
      <c r="AM12" s="284">
        <f>IF(ISNUMBER(((NºAsuntos!I12/NºAsuntos!G12)*11)/factor_trimestre),((NºAsuntos!I12/NºAsuntos!G12)*11)/factor_trimestre," - ")</f>
        <v>3.7424114671163577</v>
      </c>
      <c r="AN12" s="267">
        <f>IF(ISNUMBER('Resol  Asuntos'!D12/NºAsuntos!G12),'Resol  Asuntos'!D12/NºAsuntos!G12," - ")</f>
        <v>0.21416526138279932</v>
      </c>
      <c r="AO12" s="268">
        <f>IF(ISNUMBER((NºAsuntos!C12+NºAsuntos!E12)/NºAsuntos!G12),(NºAsuntos!C12+NºAsuntos!E12)/NºAsuntos!G12," - ")</f>
        <v>1.3406408094435076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600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526</v>
      </c>
      <c r="Y14" s="1165">
        <f t="shared" si="6"/>
        <v>568</v>
      </c>
      <c r="Z14" s="1165">
        <f t="shared" si="6"/>
        <v>0</v>
      </c>
      <c r="AA14" s="1165">
        <f t="shared" si="6"/>
        <v>24</v>
      </c>
      <c r="AB14" s="1165">
        <f t="shared" si="6"/>
        <v>1448</v>
      </c>
      <c r="AC14" s="1165">
        <f t="shared" si="6"/>
        <v>30</v>
      </c>
      <c r="AD14" s="1165">
        <f t="shared" si="6"/>
        <v>0</v>
      </c>
      <c r="AE14" s="1169">
        <f t="shared" si="6"/>
        <v>0</v>
      </c>
      <c r="AF14" s="1162">
        <f t="shared" si="6"/>
        <v>0</v>
      </c>
      <c r="AG14" s="1170">
        <f t="shared" si="6"/>
        <v>0</v>
      </c>
      <c r="AH14" s="1167">
        <f t="shared" si="6"/>
        <v>0</v>
      </c>
      <c r="AI14" s="1162">
        <f t="shared" si="6"/>
        <v>519</v>
      </c>
      <c r="AJ14" s="1164">
        <f t="shared" si="6"/>
        <v>0</v>
      </c>
      <c r="AK14" s="1167">
        <f>SUBTOTAL(9,AK9:AK13)</f>
        <v>0</v>
      </c>
      <c r="AL14" s="1171">
        <f>IF(ISNUMBER(NºAsuntos!G14/NºAsuntos!E14),NºAsuntos!G14/NºAsuntos!E14," - ")</f>
        <v>0.96792301523656776</v>
      </c>
      <c r="AM14" s="1171">
        <f>IF(ISNUMBER(((NºAsuntos!I14/NºAsuntos!G14)*11)/factor_trimestre),((NºAsuntos!I14/NºAsuntos!G14)*11)/factor_trimestre," - ")</f>
        <v>3.7866611433305715</v>
      </c>
      <c r="AN14" s="1172">
        <f>IF(ISNUMBER('Resol  Asuntos'!D14/NºAsuntos!G14),'Resol  Asuntos'!D14/NºAsuntos!G14," - ")</f>
        <v>0.21499585749792874</v>
      </c>
      <c r="AO14" s="1173">
        <f>IF(ISNUMBER((NºAsuntos!C14+NºAsuntos!E14)/NºAsuntos!G14),(NºAsuntos!C14+NºAsuntos!E14)/NºAsuntos!G14," - ")</f>
        <v>1.3446561723280861</v>
      </c>
      <c r="AP14" s="1174" t="str">
        <f t="shared" si="2"/>
        <v xml:space="preserve"> - </v>
      </c>
      <c r="AQ14" s="1174">
        <f>IF(ISNUMBER((H14-W14+K14)/(F14)),(H14-W14+K14)/(F14)," - ")</f>
        <v>-3.2307692307692308</v>
      </c>
      <c r="AR14" s="1175">
        <f>IF(ISNUMBER((Datos!P14-Datos!Q14)/(Datos!R14-Datos!P14+Datos!Q14)),(Datos!P14-Datos!Q14)/(Datos!R14-Datos!P14+Datos!Q14)," - ")</f>
        <v>5.3857350800582245E-2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717</v>
      </c>
      <c r="G17" s="373">
        <f>IF(ISNUMBER(IF(D_I="SI",Datos!I17,Datos!I17+Datos!AC17)),IF(D_I="SI",Datos!I17,Datos!I17+Datos!AC17)," - ")</f>
        <v>560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3013</v>
      </c>
      <c r="X17" s="240">
        <f>IF(ISNUMBER(Datos!Q17),Datos!Q17," - ")</f>
        <v>136</v>
      </c>
      <c r="Y17" s="374">
        <f t="shared" ref="Y17:Y22" si="9">SUM(W17:X17)</f>
        <v>3149</v>
      </c>
      <c r="Z17" s="375" t="str">
        <f>IF(ISNUMBER(Datos!CC17),Datos!CC17," - ")</f>
        <v xml:space="preserve"> - </v>
      </c>
      <c r="AA17" s="372">
        <f>IF(ISNUMBER(IF(D_I="SI",Datos!L17,Datos!L17+Datos!AF17)),IF(D_I="SI",Datos!L17,Datos!L17+Datos!AF17)," - ")</f>
        <v>582</v>
      </c>
      <c r="AB17" s="374">
        <f>IF(ISNUMBER(Datos!R17),Datos!R17," - ")</f>
        <v>103</v>
      </c>
      <c r="AC17" s="374">
        <f t="shared" si="8"/>
        <v>685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305</v>
      </c>
      <c r="AJ17" s="245" t="str">
        <f>IF(ISNUMBER(Datos!BW17),Datos!BW17," - ")</f>
        <v xml:space="preserve"> - </v>
      </c>
      <c r="AK17" s="246" t="str">
        <f>IF(ISNUMBER(Datos!BX17),Datos!BX17," - ")</f>
        <v xml:space="preserve"> - </v>
      </c>
      <c r="AL17" s="266">
        <f>IF(ISNUMBER(NºAsuntos!G17/NºAsuntos!E17),NºAsuntos!G17/NºAsuntos!E17," - ")</f>
        <v>1.0469075747046561</v>
      </c>
      <c r="AM17" s="284">
        <f>IF(ISNUMBER(((NºAsuntos!I17/NºAsuntos!G17)*11)/factor_trimestre),((NºAsuntos!I17/NºAsuntos!G17)*11)/factor_trimestre," - ")</f>
        <v>2.1247925655492863</v>
      </c>
      <c r="AN17" s="267">
        <f>IF(ISNUMBER('Resol  Asuntos'!D17/NºAsuntos!G17),'Resol  Asuntos'!D17/NºAsuntos!G17," - ")</f>
        <v>0.10122801194822437</v>
      </c>
      <c r="AO17" s="268">
        <f>IF(ISNUMBER((NºAsuntos!C17+NºAsuntos!E17)/NºAsuntos!G17),(NºAsuntos!C17+NºAsuntos!E17)/NºAsuntos!G17," - ")</f>
        <v>1.1410554264852306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348</v>
      </c>
      <c r="X18" s="240">
        <f>IF(ISNUMBER(Datos!Q18),Datos!Q18," - ")</f>
        <v>5</v>
      </c>
      <c r="Y18" s="374">
        <f t="shared" si="9"/>
        <v>353</v>
      </c>
      <c r="Z18" s="375" t="str">
        <f>IF(ISNUMBER(Datos!CC18),Datos!CC18," - ")</f>
        <v xml:space="preserve"> - </v>
      </c>
      <c r="AA18" s="372">
        <f>IF(ISNUMBER(Datos!L18),Datos!L18,"-")</f>
        <v>51</v>
      </c>
      <c r="AB18" s="374">
        <f>IF(ISNUMBER(Datos!R18),Datos!R18," - ")</f>
        <v>1</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60</v>
      </c>
      <c r="AJ18" s="245" t="str">
        <f>IF(ISNUMBER(Datos!BW18),Datos!BW18," - ")</f>
        <v xml:space="preserve"> - </v>
      </c>
      <c r="AK18" s="246" t="str">
        <f>IF(ISNUMBER(Datos!BX18),Datos!BX18," - ")</f>
        <v xml:space="preserve"> - </v>
      </c>
      <c r="AL18" s="266">
        <f>IF(ISNUMBER(NºAsuntos!G18/NºAsuntos!E18),NºAsuntos!G18/NºAsuntos!E18," - ")</f>
        <v>1.0116279069767442</v>
      </c>
      <c r="AM18" s="284">
        <f>IF(ISNUMBER(((NºAsuntos!I18/NºAsuntos!G18)*11)/factor_trimestre),((NºAsuntos!I18/NºAsuntos!G18)*11)/factor_trimestre," - ")</f>
        <v>1.6120689655172413</v>
      </c>
      <c r="AN18" s="267">
        <f>IF(ISNUMBER('Resol  Asuntos'!D18/NºAsuntos!G18),'Resol  Asuntos'!D18/NºAsuntos!G18," - ")</f>
        <v>0.17241379310344829</v>
      </c>
      <c r="AO18" s="268">
        <f>IF(ISNUMBER((NºAsuntos!C18+NºAsuntos!E18)/NºAsuntos!G18),(NºAsuntos!C18+NºAsuntos!E18)/NºAsuntos!G18," - ")</f>
        <v>1.1379310344827587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717</v>
      </c>
      <c r="G23" s="1163">
        <f>SUBTOTAL(9,G16:G22)</f>
        <v>612</v>
      </c>
      <c r="H23" s="1162">
        <f t="shared" ref="H23:O23" si="13">SUBTOTAL(9,H15:H22)</f>
        <v>0</v>
      </c>
      <c r="I23" s="1164">
        <f t="shared" si="13"/>
        <v>0</v>
      </c>
      <c r="J23" s="1164">
        <f t="shared" si="13"/>
        <v>0</v>
      </c>
      <c r="K23" s="1164">
        <f t="shared" si="13"/>
        <v>0</v>
      </c>
      <c r="L23" s="1164">
        <f t="shared" si="13"/>
        <v>136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3361</v>
      </c>
      <c r="X23" s="1164">
        <f t="shared" si="14"/>
        <v>141</v>
      </c>
      <c r="Y23" s="1165">
        <f t="shared" si="14"/>
        <v>3502</v>
      </c>
      <c r="Z23" s="1165">
        <f t="shared" si="14"/>
        <v>0</v>
      </c>
      <c r="AA23" s="1165">
        <f t="shared" si="14"/>
        <v>633</v>
      </c>
      <c r="AB23" s="1165">
        <f t="shared" si="14"/>
        <v>104</v>
      </c>
      <c r="AC23" s="1165">
        <f t="shared" si="14"/>
        <v>737</v>
      </c>
      <c r="AD23" s="1165">
        <f t="shared" si="14"/>
        <v>0</v>
      </c>
      <c r="AE23" s="1169">
        <f t="shared" si="14"/>
        <v>0</v>
      </c>
      <c r="AF23" s="1162">
        <f t="shared" si="14"/>
        <v>0</v>
      </c>
      <c r="AG23" s="1170">
        <f t="shared" si="14"/>
        <v>0</v>
      </c>
      <c r="AH23" s="1167">
        <f t="shared" si="14"/>
        <v>0</v>
      </c>
      <c r="AI23" s="1162">
        <f t="shared" si="14"/>
        <v>365</v>
      </c>
      <c r="AJ23" s="1164">
        <f t="shared" si="14"/>
        <v>0</v>
      </c>
      <c r="AK23" s="1167">
        <f t="shared" si="14"/>
        <v>0</v>
      </c>
      <c r="AL23" s="1171">
        <f>IF(ISNUMBER(NºAsuntos!G23/NºAsuntos!E23),NºAsuntos!G23/NºAsuntos!E23," - ")</f>
        <v>1.0431409062693979</v>
      </c>
      <c r="AM23" s="1171">
        <f>IF(ISNUMBER(((NºAsuntos!I23/NºAsuntos!G23)*11)/factor_trimestre),((NºAsuntos!I23/NºAsuntos!G23)*11)/factor_trimestre," - ")</f>
        <v>2.0717048497470989</v>
      </c>
      <c r="AN23" s="1172">
        <f>IF(ISNUMBER('Resol  Asuntos'!D23/NºAsuntos!G23),'Resol  Asuntos'!D23/NºAsuntos!G23," - ")</f>
        <v>0.10859863135971437</v>
      </c>
      <c r="AO23" s="1173">
        <f>IF(ISNUMBER((NºAsuntos!C23+NºAsuntos!E23)/NºAsuntos!G23),(NºAsuntos!C23+NºAsuntos!E23)/NºAsuntos!G23," - ")</f>
        <v>1.1407319250223147</v>
      </c>
      <c r="AP23" s="1174" t="str">
        <f t="shared" si="2"/>
        <v xml:space="preserve"> - </v>
      </c>
      <c r="AQ23" s="1174">
        <f>IF(ISNUMBER((H23-W23+K23)/(F23)),(H23-W23+K23)/(F23)," - ")</f>
        <v>-4.6875871687587169</v>
      </c>
      <c r="AR23" s="1175">
        <f>IF(ISNUMBER((Datos!P23-Datos!Q23)/(Datos!R23-Datos!P23+Datos!Q23)),(Datos!P23-Datos!Q23)/(Datos!R23-Datos!P23+Datos!Q23)," - ")</f>
        <v>-4.5871559633027525E-2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730</v>
      </c>
      <c r="G31" s="1118">
        <f t="shared" si="20"/>
        <v>625</v>
      </c>
      <c r="H31" s="1117">
        <f t="shared" si="20"/>
        <v>0</v>
      </c>
      <c r="I31" s="1119">
        <f t="shared" si="20"/>
        <v>0</v>
      </c>
      <c r="J31" s="1119">
        <f t="shared" si="20"/>
        <v>0</v>
      </c>
      <c r="K31" s="1180">
        <f t="shared" si="20"/>
        <v>0</v>
      </c>
      <c r="L31" s="1119">
        <f t="shared" si="20"/>
        <v>736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3403</v>
      </c>
      <c r="X31" s="1118">
        <f t="shared" si="21"/>
        <v>667</v>
      </c>
      <c r="Y31" s="1125">
        <f t="shared" si="21"/>
        <v>4070</v>
      </c>
      <c r="Z31" s="1125">
        <f t="shared" si="21"/>
        <v>0</v>
      </c>
      <c r="AA31" s="1125">
        <f t="shared" si="21"/>
        <v>657</v>
      </c>
      <c r="AB31" s="1125">
        <f t="shared" si="21"/>
        <v>1552</v>
      </c>
      <c r="AC31" s="1125">
        <f t="shared" si="21"/>
        <v>767</v>
      </c>
      <c r="AD31" s="1125">
        <f t="shared" si="21"/>
        <v>0</v>
      </c>
      <c r="AE31" s="1127">
        <f t="shared" si="21"/>
        <v>0</v>
      </c>
      <c r="AF31" s="1128">
        <f t="shared" si="21"/>
        <v>0</v>
      </c>
      <c r="AG31" s="1129">
        <f t="shared" si="21"/>
        <v>0</v>
      </c>
      <c r="AH31" s="1127">
        <f t="shared" si="21"/>
        <v>0</v>
      </c>
      <c r="AI31" s="1117">
        <f t="shared" si="21"/>
        <v>884</v>
      </c>
      <c r="AJ31" s="1117">
        <f t="shared" si="21"/>
        <v>0</v>
      </c>
      <c r="AK31" s="1127">
        <f t="shared" si="21"/>
        <v>0</v>
      </c>
      <c r="AL31" s="1183">
        <f>IF(ISNUMBER(NºAsuntos!G31/NºAsuntos!E31),NºAsuntos!G31/NºAsuntos!E31," - ")</f>
        <v>1.0103219034289712</v>
      </c>
      <c r="AM31" s="1184">
        <f>IF(ISNUMBER(((NºAsuntos!I31/NºAsuntos!G31)*11)/factor_trimestre),((NºAsuntos!I31/NºAsuntos!G31)*11)/factor_trimestre," - ")</f>
        <v>2.7885714285714287</v>
      </c>
      <c r="AN31" s="1184">
        <f>IF(ISNUMBER('Resol  Asuntos'!D31/NºAsuntos!G31),'Resol  Asuntos'!D31/NºAsuntos!G31," - ")</f>
        <v>0.15307359307359308</v>
      </c>
      <c r="AO31" s="1185">
        <f>IF(ISNUMBER((NºAsuntos!C31+NºAsuntos!E31)/NºAsuntos!G31),(NºAsuntos!C31+NºAsuntos!E31)/NºAsuntos!G31," - ")</f>
        <v>1.2259740259740259</v>
      </c>
      <c r="AP31" s="1186" t="str">
        <f t="shared" si="2"/>
        <v xml:space="preserve"> - </v>
      </c>
      <c r="AQ31" s="1187">
        <f>IF(OR(ISNUMBER(FIND("01",Criterios!A8,1)),ISNUMBER(FIND("02",Criterios!A8,1)),ISNUMBER(FIND("03",Criterios!A8,1)),ISNUMBER(FIND("04",Criterios!A8,1))),(I31-W31+K31)/(F31-K31),(H31-W31+K31)/(F31-K31))</f>
        <v>-4.661643835616438</v>
      </c>
      <c r="AR31" s="1188">
        <f>IF(ISNUMBER((Datos!P31-Datos!Q31)/(Datos!R31-Datos!P31+Datos!Q31)),(Datos!P31-Datos!Q31)/(Datos!R31-Datos!P31+Datos!Q31)," - ")</f>
        <v>4.652730950775455E-2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366.94668095878268</v>
      </c>
      <c r="G33" s="277">
        <f>IF(ISNUMBER(STDEV(G8:G30)),STDEV(G8:G30),"-")</f>
        <v>279.27636082254747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1521.0602348675211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228.86927023334272</v>
      </c>
      <c r="AJ33" s="276">
        <f t="shared" si="25"/>
        <v>0</v>
      </c>
      <c r="AK33" s="278">
        <f t="shared" si="25"/>
        <v>0</v>
      </c>
      <c r="AL33" s="273">
        <f t="shared" si="25"/>
        <v>9.4335457306364362E-2</v>
      </c>
      <c r="AM33" s="274">
        <f t="shared" si="25"/>
        <v>1.7367088852433517</v>
      </c>
      <c r="AN33" s="274">
        <f t="shared" si="25"/>
        <v>6.3958783080272891E-2</v>
      </c>
      <c r="AO33" s="275">
        <f t="shared" si="25"/>
        <v>0.17416716982288291</v>
      </c>
      <c r="AP33" s="317" t="str">
        <f t="shared" si="25"/>
        <v>-</v>
      </c>
      <c r="AQ33" s="318">
        <f t="shared" si="25"/>
        <v>1.0301258429065692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FX99oXQBF5tAtwwKLwpJ4G3E0mSyneQOWmCVrmhR6Nh6CM00bIOtodwkMA3w1sqg3TajrqVP4TzLr779Di/ow==" saltValue="Pl9+RlSN9DraS/YYZ6Xt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UBEDA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-1.8518518518518517E-2</v>
      </c>
      <c r="F10" s="393">
        <f>IF(ISNUMBER((Datos!K10-Datos!U10)/Datos!U10),(Datos!K10-Datos!U10)/Datos!U10," - ")</f>
        <v>-0.3</v>
      </c>
      <c r="G10" s="394">
        <f>IF(ISNUMBER((Datos!L10-Datos!V10)/Datos!V10),(Datos!L10-Datos!V10)/Datos!V10," - ")</f>
        <v>0.84615384615384615</v>
      </c>
      <c r="H10" s="244">
        <f>IF(ISNUMBER((Datos!M10-Datos!W10)/Datos!W10),(Datos!M10-Datos!W10)/Datos!W10," - ")</f>
        <v>-0.26666666666666666</v>
      </c>
      <c r="I10" s="395">
        <f>IF(ISNUMBER((Tasas!C10-Datos!BE10)/Datos!BE10),(Tasas!C10-Datos!BE10)/Datos!BE10," - ")</f>
        <v>1.6373626373626371</v>
      </c>
      <c r="J10" s="394">
        <f>IF(ISNUMBER((Tasas!D10-Datos!BF10)/Datos!BF10),(Tasas!D10-Datos!BF10)/Datos!BF10," - ")</f>
        <v>4.7619047619047672E-2</v>
      </c>
      <c r="K10" s="396">
        <f>IF(ISNUMBER((Tasas!E10-Datos!BG10)/Datos!BG10),(Tasas!E10-Datos!BG10)/Datos!BG10," - ")</f>
        <v>0.29158512720156565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0.13140311804008908</v>
      </c>
      <c r="I12" s="395">
        <f>IF(ISNUMBER((Tasas!C12-Datos!BE12)/Datos!BE12),(Tasas!C12-Datos!BE12)/Datos!BE12," - ")</f>
        <v>0.11181248531012476</v>
      </c>
      <c r="J12" s="394">
        <f>IF(ISNUMBER((Tasas!D12-Datos!BF12)/Datos!BF12),(Tasas!D12-Datos!BF12)/Datos!BF12," - ")</f>
        <v>-0.46898449051390106</v>
      </c>
      <c r="K12" s="396">
        <f>IF(ISNUMBER((Tasas!E12-Datos!BG12)/Datos!BG12),(Tasas!E12-Datos!BG12)/Datos!BG12," - ")</f>
        <v>2.652110171403638E-2</v>
      </c>
      <c r="M12" t="e">
        <f>IF(Monitorios="SI",Datos!CE12,0)</f>
        <v>#REF!</v>
      </c>
      <c r="N12" t="e">
        <f>IF(Monitorios="SI",Datos!CF12,0)</f>
        <v>#REF!</v>
      </c>
      <c r="O12" t="e">
        <f>IF(Monitorios="SI",Datos!CG12,0)</f>
        <v>#REF!</v>
      </c>
      <c r="P12" t="e">
        <f>IF(Monitorios="SI",Datos!CH12,0)</f>
        <v>#REF!</v>
      </c>
      <c r="Q12">
        <f>IF(J_V="SI",0,Datos!AG12)</f>
        <v>35</v>
      </c>
      <c r="R12">
        <f>IF(J_V="SI",0,Datos!AH12)</f>
        <v>310</v>
      </c>
      <c r="S12">
        <f>IF(J_V="SI",0,Datos!AI12)</f>
        <v>317</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0.11853448275862069</v>
      </c>
      <c r="I14" s="402">
        <f>IF(ISNUMBER((Tasas!C14-Datos!BE14)/Datos!BE14),(Tasas!C14-Datos!BE14)/Datos!BE14," - ")</f>
        <v>0.13297707081034385</v>
      </c>
      <c r="J14" s="400">
        <f>IF(ISNUMBER((Tasas!D14-Datos!BF14)/Datos!BF14),(Tasas!D14-Datos!BF14)/Datos!BF14," - ")</f>
        <v>-0.46196688846574963</v>
      </c>
      <c r="K14" s="403">
        <f>IF(ISNUMBER((Tasas!E14-Datos!BG14)/Datos!BG14),(Tasas!E14-Datos!BG14)/Datos!BG14," - ")</f>
        <v>3.1305865048656088E-2</v>
      </c>
      <c r="M14" t="e">
        <f>IF(Monitorios="SI",Datos!CE14,0)</f>
        <v>#REF!</v>
      </c>
      <c r="N14" t="e">
        <f>IF(Monitorios="SI",Datos!CF14,0)</f>
        <v>#REF!</v>
      </c>
      <c r="O14" t="e">
        <f>IF(Monitorios="SI",Datos!CG14,0)</f>
        <v>#REF!</v>
      </c>
      <c r="P14" t="e">
        <f>IF(Monitorios="SI",Datos!CH14,0)</f>
        <v>#REF!</v>
      </c>
      <c r="Q14">
        <f>IF(J_V="SI",0,Datos!AG14)</f>
        <v>35</v>
      </c>
      <c r="R14">
        <f>IF(J_V="SI",0,Datos!AH14)</f>
        <v>310</v>
      </c>
      <c r="S14">
        <f>IF(J_V="SI",0,Datos!AI14)</f>
        <v>317</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-7.0921985815602835E-3</v>
      </c>
      <c r="E17" s="393">
        <f>IF(ISNUMBER(
   IF(D_I="SI",(Datos!J17-Datos!T17)/Datos!T17,(Datos!J17+Datos!AD17-(Datos!T17+Datos!AL17))/(Datos!T17+Datos!AL17))
     ),IF(D_I="SI",(Datos!J17-Datos!T17)/Datos!T17,(Datos!J17+Datos!AD17-(Datos!T17+Datos!AL17))/(Datos!T17+Datos!AL17))," - ")</f>
        <v>-7.9283005860048255E-3</v>
      </c>
      <c r="F17" s="393">
        <f>IF(ISNUMBER(
   IF(D_I="SI",(Datos!K17-Datos!U17)/Datos!U17,(Datos!K17+Datos!AE17-(Datos!U17+Datos!AM17))/(Datos!U17+Datos!AM17))
     ),IF(D_I="SI",(Datos!K17-Datos!U17)/Datos!U17,(Datos!K17+Datos!AE17-(Datos!U17+Datos!AM17))/(Datos!U17+Datos!AM17))," - ")</f>
        <v>2.3089983022071308E-2</v>
      </c>
      <c r="G17" s="394">
        <f>IF(ISNUMBER(
   IF(D_I="SI",(Datos!L17-Datos!V17)/Datos!V17,(Datos!L17+Datos!AF17-(Datos!V17+Datos!AN17))/(Datos!V17+Datos!AN17))
     ),IF(D_I="SI",(Datos!L17-Datos!V17)/Datos!V17,(Datos!L17+Datos!AF17-(Datos!V17+Datos!AN17))/(Datos!V17+Datos!AN17))," - ")</f>
        <v>3.9285714285714285E-2</v>
      </c>
      <c r="H17" s="244">
        <f>IF(ISNUMBER((Datos!M17-Datos!W17)/Datos!W17),(Datos!M17-Datos!W17)/Datos!W17," - ")</f>
        <v>-4.6875E-2</v>
      </c>
      <c r="I17" s="395">
        <f>IF(ISNUMBER((Tasas!C17-Datos!BE17)/Datos!BE17),(Tasas!C17-Datos!BE17)/Datos!BE17," - ")</f>
        <v>1.583021193874173E-2</v>
      </c>
      <c r="J17" s="394">
        <f>IF(ISNUMBER((Tasas!D17-Datos!BF17)/Datos!BF17),(Tasas!D17-Datos!BF17)/Datos!BF17," - ")</f>
        <v>-6.838595253899761E-2</v>
      </c>
      <c r="K17" s="396">
        <f>IF(ISNUMBER((Tasas!E17-Datos!BG17)/Datos!BG17),(Tasas!E17-Datos!BG17)/Datos!BG17," - ")</f>
        <v>-3.0185214718902027E-2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0.26007326007326009</v>
      </c>
      <c r="F18" s="393">
        <f>IF(ISNUMBER(
   IF(D_I="SI",(Datos!K18-Datos!U18)/Datos!U18,(Datos!K18+Datos!AE18-(Datos!U18+Datos!AM18))/(Datos!U18+Datos!AM18))
     ),IF(D_I="SI",(Datos!K18-Datos!U18)/Datos!U18,(Datos!K18+Datos!AE18-(Datos!U18+Datos!AM18))/(Datos!U18+Datos!AM18))," - ")</f>
        <v>0.2608695652173913</v>
      </c>
      <c r="G18" s="394">
        <f>IF(ISNUMBER(
   IF(D_I="SI",(Datos!L18-Datos!V18)/Datos!V18,(Datos!L18+Datos!AF18-(Datos!V18+Datos!AN18))/(Datos!V18+Datos!AN18))
     ),IF(D_I="SI",(Datos!L18-Datos!V18)/Datos!V18,(Datos!L18+Datos!AF18-(Datos!V18+Datos!AN18))/(Datos!V18+Datos!AN18))," - ")</f>
        <v>-1.9230769230769232E-2</v>
      </c>
      <c r="H18" s="244">
        <f>IF(ISNUMBER((Datos!M18-Datos!W18)/Datos!W18),(Datos!M18-Datos!W18)/Datos!W18," - ")</f>
        <v>0.36363636363636365</v>
      </c>
      <c r="I18" s="395">
        <f>IF(ISNUMBER((Tasas!C18-Datos!BE18)/Datos!BE18),(Tasas!C18-Datos!BE18)/Datos!BE18," - ")</f>
        <v>-0.22214854111405843</v>
      </c>
      <c r="J18" s="394">
        <f>IF(ISNUMBER((Tasas!D18-Datos!BF18)/Datos!BF18),(Tasas!D18-Datos!BF18)/Datos!BF18," - ")</f>
        <v>8.1504702194357528E-2</v>
      </c>
      <c r="K18" s="396">
        <f>IF(ISNUMBER((Tasas!E18-Datos!BG18)/Datos!BG18),(Tasas!E18-Datos!BG18)/Datos!BG18," - ")</f>
        <v>-3.9544447959506387E-2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-9.7087378640776691E-3</v>
      </c>
      <c r="E23" s="399">
        <f>IF(ISNUMBER(
   IF(D_I="SI",(Datos!J23-Datos!T23)/Datos!T23,(Datos!J23+Datos!AD23-(Datos!T23+Datos!AL23))/(Datos!T23+Datos!AL23))
     ),IF(D_I="SI",(Datos!J23-Datos!T23)/Datos!T23,(Datos!J23+Datos!AD23-(Datos!T23+Datos!AL23))/(Datos!T23+Datos!AL23))," - ")</f>
        <v>1.5122873345935728E-2</v>
      </c>
      <c r="F23" s="399">
        <f>IF(ISNUMBER(
   IF(D_I="SI",(Datos!K23-Datos!U23)/Datos!U23,(Datos!K23+Datos!AE23-(Datos!U23+Datos!AM23))/(Datos!U23+Datos!AM23))
     ),IF(D_I="SI",(Datos!K23-Datos!U23)/Datos!U23,(Datos!K23+Datos!AE23-(Datos!U23+Datos!AM23))/(Datos!U23+Datos!AM23))," - ")</f>
        <v>4.3464762496119219E-2</v>
      </c>
      <c r="G23" s="400">
        <f>IF(ISNUMBER(
   IF(D_I="SI",(Datos!L23-Datos!V23)/Datos!V23,(Datos!L23+Datos!AF23-(Datos!V23+Datos!AN23))/(Datos!V23+Datos!AN23))
     ),IF(D_I="SI",(Datos!L23-Datos!V23)/Datos!V23,(Datos!L23+Datos!AF23-(Datos!V23+Datos!AN23))/(Datos!V23+Datos!AN23))," - ")</f>
        <v>3.4313725490196081E-2</v>
      </c>
      <c r="H23" s="401">
        <f>IF(ISNUMBER((Datos!M23-Datos!W23)/Datos!W23),(Datos!M23-Datos!W23)/Datos!W23," - ")</f>
        <v>2.7472527472527475E-3</v>
      </c>
      <c r="I23" s="402">
        <f>IF(ISNUMBER((Tasas!C23-Datos!BE23)/Datos!BE23),(Tasas!C23-Datos!BE23)/Datos!BE23," - ")</f>
        <v>-8.7698572437009438E-3</v>
      </c>
      <c r="J23" s="400">
        <f>IF(ISNUMBER((Tasas!D23-Datos!BF23)/Datos!BF23),(Tasas!D23-Datos!BF23)/Datos!BF23," - ")</f>
        <v>-3.9021451621868153E-2</v>
      </c>
      <c r="K23" s="403">
        <f>IF(ISNUMBER((Tasas!E23-Datos!BG23)/Datos!BG23),(Tasas!E23-Datos!BG23)/Datos!BG23," - ")</f>
        <v>-3.1039680776140385E-2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-0.17682558841279419</v>
      </c>
      <c r="E31" s="409">
        <f>IF(ISNUMBER(
   IF(J_V="SI",(Datos!J31-Datos!T31)/Datos!T31,(Datos!J31+Datos!Z31-(Datos!T31+Datos!AH31))/(Datos!T31+Datos!AH31))
     ),IF(J_V="SI",(Datos!J31-Datos!T31)/Datos!T31,(Datos!J31+Datos!Z31-(Datos!T31+Datos!AH31))/(Datos!T31+Datos!AH31))," - ")</f>
        <v>6.6020141738157401E-2</v>
      </c>
      <c r="F31" s="409">
        <f>IF(ISNUMBER(
   IF(J_V="SI",(Datos!K31-Datos!U31)/Datos!U31,(Datos!K31+Datos!AA31-(Datos!U31+Datos!AI31))/(Datos!U31+Datos!AI31))
     ),IF(J_V="SI",(Datos!K31-Datos!U31)/Datos!U31,(Datos!K31+Datos!AA31-(Datos!U31+Datos!AI31))/(Datos!U31+Datos!AI31))," - ")</f>
        <v>1.3869382022471909E-2</v>
      </c>
      <c r="G31" s="410">
        <f>IF(ISNUMBER(
   IF(J_V="SI",(Datos!L31-Datos!V31)/Datos!V31,(Datos!L31+Datos!AB31-(Datos!V31+Datos!AJ31))/(Datos!V31+Datos!AJ31))
     ),IF(J_V="SI",(Datos!L31-Datos!V31)/Datos!V31,(Datos!L31+Datos!AB31-(Datos!V31+Datos!AJ31))/(Datos!V31+Datos!AJ31))," - ")</f>
        <v>7.331378299120235E-2</v>
      </c>
      <c r="H31" s="411">
        <f>IF(ISNUMBER((Datos!M31-Datos!W31)/Datos!W31),(Datos!M31-Datos!W31)/Datos!W31," - ")</f>
        <v>6.7632850241545889E-2</v>
      </c>
      <c r="I31" s="408">
        <f>IF(ISNUMBER((Tasas!C31-Datos!BE31)/Datos!BE31),(Tasas!C31-Datos!BE31)/Datos!BE31," - ")</f>
        <v>5.8631222150283817E-2</v>
      </c>
      <c r="J31" s="409">
        <f>IF(ISNUMBER((Tasas!D31-Datos!BF31)/Datos!BF31),(Tasas!D31-Datos!BF31)/Datos!BF31," - ")</f>
        <v>-0.35557488089638856</v>
      </c>
      <c r="K31" s="410">
        <f>IF(ISNUMBER((Tasas!E31-Datos!BG31)/Datos!BG31),(Tasas!E31-Datos!BG31)/Datos!BG31," - ")</f>
        <v>-5.1078427200381355E-3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0.14953614975326202</v>
      </c>
      <c r="E33" s="303">
        <f t="shared" si="1"/>
        <v>0.13266943888058599</v>
      </c>
      <c r="F33" s="303">
        <f t="shared" si="1"/>
        <v>0.23114731215301057</v>
      </c>
      <c r="G33" s="304">
        <f t="shared" si="1"/>
        <v>0.41486212656722465</v>
      </c>
      <c r="H33" s="310">
        <f t="shared" si="1"/>
        <v>0.21051617012676879</v>
      </c>
      <c r="I33" s="302">
        <f t="shared" si="1"/>
        <v>0.67788422106543134</v>
      </c>
      <c r="J33" s="303">
        <f t="shared" si="1"/>
        <v>0.24927295739558172</v>
      </c>
      <c r="K33" s="304">
        <f t="shared" si="1"/>
        <v>0.12636440574699159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JCoCUSm9vthG9tgKej/yDACh6V4hLPW/ocTUjgRdpkfREDLEmetaHmfZzhsnTuatdwsS7+Z1YzhCWgtIQUvbw==" saltValue="c+cYUY0sKOpeiBl1p1r4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